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ohana/Desktop/НУБіП/СУП/"/>
    </mc:Choice>
  </mc:AlternateContent>
  <xr:revisionPtr revIDLastSave="0" documentId="13_ncr:1_{7E5885C0-7FAA-F94B-A053-E26BE821FFEE}" xr6:coauthVersionLast="47" xr6:coauthVersionMax="47" xr10:uidLastSave="{00000000-0000-0000-0000-000000000000}"/>
  <bookViews>
    <workbookView xWindow="3880" yWindow="680" windowWidth="24320" windowHeight="16220" tabRatio="805" activeTab="4" xr2:uid="{00000000-000D-0000-FFFF-FFFF00000000}"/>
  </bookViews>
  <sheets>
    <sheet name="Титул" sheetId="32" r:id="rId1"/>
    <sheet name="Резюме проекту" sheetId="14" r:id="rId2"/>
    <sheet name="Доходи" sheetId="1" r:id="rId3"/>
    <sheet name="Витрати" sheetId="2" r:id="rId4"/>
    <sheet name="Інвестиційний план" sheetId="3" r:id="rId5"/>
    <sheet name="Оборудование" sheetId="46" state="hidden" r:id="rId6"/>
    <sheet name="Амортизація" sheetId="40" r:id="rId7"/>
    <sheet name="Розрахунок податків" sheetId="6" r:id="rId8"/>
    <sheet name="Кредит" sheetId="43" state="hidden" r:id="rId9"/>
    <sheet name="ОФР" sheetId="10" r:id="rId10"/>
    <sheet name="ОДДС" sheetId="9" r:id="rId11"/>
    <sheet name="Розрахунок точки беззбитковості" sheetId="11" r:id="rId12"/>
    <sheet name="Финансовий аналіз" sheetId="12" r:id="rId13"/>
    <sheet name="Інвестиційний аналіз" sheetId="13" r:id="rId14"/>
    <sheet name="Анализ чувствительности ЧПД" sheetId="45" state="hidden" r:id="rId15"/>
    <sheet name="Dr" sheetId="47" r:id="rId16"/>
    <sheet name="Анализ чувствительности" sheetId="42" r:id="rId17"/>
  </sheets>
  <definedNames>
    <definedName name="OLE_LINK24" localSheetId="2">Доходи!$C$96</definedName>
    <definedName name="solver_adj" localSheetId="3" hidden="1">Витрати!#REF!</definedName>
    <definedName name="solver_adj" localSheetId="4" hidden="1">'Інвестиційний план'!$B$31</definedName>
    <definedName name="solver_cvg" localSheetId="3" hidden="1">0.0001</definedName>
    <definedName name="solver_cvg" localSheetId="4" hidden="1">0.0001</definedName>
    <definedName name="solver_drv" localSheetId="3" hidden="1">1</definedName>
    <definedName name="solver_drv" localSheetId="4" hidden="1">1</definedName>
    <definedName name="solver_eng" localSheetId="3" hidden="1">1</definedName>
    <definedName name="solver_eng" localSheetId="13" hidden="1">1</definedName>
    <definedName name="solver_eng" localSheetId="4" hidden="1">1</definedName>
    <definedName name="solver_est" localSheetId="3" hidden="1">1</definedName>
    <definedName name="solver_est" localSheetId="4" hidden="1">1</definedName>
    <definedName name="solver_itr" localSheetId="3" hidden="1">2147483647</definedName>
    <definedName name="solver_itr" localSheetId="4" hidden="1">2147483647</definedName>
    <definedName name="solver_mip" localSheetId="3" hidden="1">2147483647</definedName>
    <definedName name="solver_mip" localSheetId="4" hidden="1">2147483647</definedName>
    <definedName name="solver_mni" localSheetId="3" hidden="1">30</definedName>
    <definedName name="solver_mni" localSheetId="4" hidden="1">30</definedName>
    <definedName name="solver_mrt" localSheetId="3" hidden="1">0.075</definedName>
    <definedName name="solver_mrt" localSheetId="4" hidden="1">0.075</definedName>
    <definedName name="solver_msl" localSheetId="3" hidden="1">2</definedName>
    <definedName name="solver_msl" localSheetId="4" hidden="1">2</definedName>
    <definedName name="solver_neg" localSheetId="3" hidden="1">1</definedName>
    <definedName name="solver_neg" localSheetId="13" hidden="1">1</definedName>
    <definedName name="solver_neg" localSheetId="4" hidden="1">1</definedName>
    <definedName name="solver_nod" localSheetId="3" hidden="1">2147483647</definedName>
    <definedName name="solver_nod" localSheetId="4" hidden="1">2147483647</definedName>
    <definedName name="solver_num" localSheetId="3" hidden="1">0</definedName>
    <definedName name="solver_num" localSheetId="13" hidden="1">0</definedName>
    <definedName name="solver_num" localSheetId="4" hidden="1">0</definedName>
    <definedName name="solver_nwt" localSheetId="3" hidden="1">1</definedName>
    <definedName name="solver_nwt" localSheetId="4" hidden="1">1</definedName>
    <definedName name="solver_opt" localSheetId="3" hidden="1">Витрати!#REF!</definedName>
    <definedName name="solver_opt" localSheetId="13" hidden="1">'Інвестиційний аналіз'!$B$32</definedName>
    <definedName name="solver_opt" localSheetId="4" hidden="1">'Інвестиційний план'!$B$63</definedName>
    <definedName name="solver_pre" localSheetId="3" hidden="1">0.000001</definedName>
    <definedName name="solver_pre" localSheetId="4" hidden="1">0.000001</definedName>
    <definedName name="solver_rbv" localSheetId="3" hidden="1">1</definedName>
    <definedName name="solver_rbv" localSheetId="4" hidden="1">1</definedName>
    <definedName name="solver_rlx" localSheetId="3" hidden="1">2</definedName>
    <definedName name="solver_rlx" localSheetId="4" hidden="1">2</definedName>
    <definedName name="solver_rsd" localSheetId="3" hidden="1">0</definedName>
    <definedName name="solver_rsd" localSheetId="4" hidden="1">0</definedName>
    <definedName name="solver_scl" localSheetId="3" hidden="1">1</definedName>
    <definedName name="solver_scl" localSheetId="4" hidden="1">1</definedName>
    <definedName name="solver_sho" localSheetId="3" hidden="1">2</definedName>
    <definedName name="solver_sho" localSheetId="4" hidden="1">2</definedName>
    <definedName name="solver_ssz" localSheetId="3" hidden="1">100</definedName>
    <definedName name="solver_ssz" localSheetId="4" hidden="1">100</definedName>
    <definedName name="solver_tim" localSheetId="3" hidden="1">2147483647</definedName>
    <definedName name="solver_tim" localSheetId="4" hidden="1">2147483647</definedName>
    <definedName name="solver_tol" localSheetId="3" hidden="1">0.01</definedName>
    <definedName name="solver_tol" localSheetId="4" hidden="1">0.01</definedName>
    <definedName name="solver_typ" localSheetId="3" hidden="1">3</definedName>
    <definedName name="solver_typ" localSheetId="13" hidden="1">1</definedName>
    <definedName name="solver_typ" localSheetId="4" hidden="1">3</definedName>
    <definedName name="solver_val" localSheetId="3" hidden="1">30000000</definedName>
    <definedName name="solver_val" localSheetId="13" hidden="1">0</definedName>
    <definedName name="solver_val" localSheetId="4" hidden="1">3000000</definedName>
    <definedName name="solver_ver" localSheetId="3" hidden="1">3</definedName>
    <definedName name="solver_ver" localSheetId="13" hidden="1">3</definedName>
    <definedName name="solver_ver" localSheetId="4" hidden="1">3</definedName>
    <definedName name="курс">Титул!$B$20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17" i="2" l="1"/>
  <c r="BA17" i="2"/>
  <c r="BB17" i="2"/>
  <c r="BC17" i="2"/>
  <c r="BD17" i="2"/>
  <c r="BE17" i="2"/>
  <c r="BF17" i="2"/>
  <c r="BG17" i="2"/>
  <c r="BH17" i="2"/>
  <c r="BI17" i="2"/>
  <c r="BJ17" i="2"/>
  <c r="AY17" i="2"/>
  <c r="AN17" i="2"/>
  <c r="AO17" i="2"/>
  <c r="AP17" i="2"/>
  <c r="AQ17" i="2"/>
  <c r="AR17" i="2"/>
  <c r="AS17" i="2"/>
  <c r="AT17" i="2"/>
  <c r="AU17" i="2"/>
  <c r="AV17" i="2"/>
  <c r="AW17" i="2"/>
  <c r="AX17" i="2"/>
  <c r="AM17" i="2"/>
  <c r="AB17" i="2"/>
  <c r="AC17" i="2"/>
  <c r="AD17" i="2"/>
  <c r="AE17" i="2"/>
  <c r="AF17" i="2"/>
  <c r="AG17" i="2"/>
  <c r="AH17" i="2"/>
  <c r="AI17" i="2"/>
  <c r="AJ17" i="2"/>
  <c r="AK17" i="2"/>
  <c r="AL17" i="2"/>
  <c r="AA17" i="2"/>
  <c r="P17" i="2"/>
  <c r="Q17" i="2"/>
  <c r="R17" i="2"/>
  <c r="S17" i="2"/>
  <c r="T17" i="2"/>
  <c r="U17" i="2"/>
  <c r="V17" i="2"/>
  <c r="W17" i="2"/>
  <c r="X17" i="2"/>
  <c r="Y17" i="2"/>
  <c r="Z17" i="2"/>
  <c r="O17" i="2"/>
  <c r="AZ16" i="2"/>
  <c r="BA16" i="2"/>
  <c r="BB16" i="2"/>
  <c r="BC16" i="2"/>
  <c r="BD16" i="2"/>
  <c r="BE16" i="2"/>
  <c r="BF16" i="2"/>
  <c r="BG16" i="2"/>
  <c r="BH16" i="2"/>
  <c r="BI16" i="2"/>
  <c r="BJ16" i="2"/>
  <c r="AY16" i="2"/>
  <c r="AN16" i="2"/>
  <c r="AO16" i="2"/>
  <c r="AP16" i="2"/>
  <c r="AQ16" i="2"/>
  <c r="AR16" i="2"/>
  <c r="AS16" i="2"/>
  <c r="AT16" i="2"/>
  <c r="AU16" i="2"/>
  <c r="AV16" i="2"/>
  <c r="AW16" i="2"/>
  <c r="AX16" i="2"/>
  <c r="AM16" i="2"/>
  <c r="AB16" i="2"/>
  <c r="AC16" i="2"/>
  <c r="AD16" i="2"/>
  <c r="AE16" i="2"/>
  <c r="AF16" i="2"/>
  <c r="AG16" i="2"/>
  <c r="AH16" i="2"/>
  <c r="AI16" i="2"/>
  <c r="AJ16" i="2"/>
  <c r="AK16" i="2"/>
  <c r="AL16" i="2"/>
  <c r="AA16" i="2"/>
  <c r="P16" i="2"/>
  <c r="Q16" i="2"/>
  <c r="R16" i="2"/>
  <c r="S16" i="2"/>
  <c r="T16" i="2"/>
  <c r="U16" i="2"/>
  <c r="V16" i="2"/>
  <c r="W16" i="2"/>
  <c r="X16" i="2"/>
  <c r="Y16" i="2"/>
  <c r="Z16" i="2"/>
  <c r="O16" i="2"/>
  <c r="B22" i="13"/>
  <c r="B27" i="14" s="1"/>
  <c r="P10" i="2"/>
  <c r="Q10" i="2"/>
  <c r="R10" i="2"/>
  <c r="S10" i="2"/>
  <c r="T10" i="2"/>
  <c r="U10" i="2"/>
  <c r="V10" i="2"/>
  <c r="W10" i="2"/>
  <c r="X10" i="2"/>
  <c r="Y10" i="2"/>
  <c r="Z10" i="2"/>
  <c r="O10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E11" i="2"/>
  <c r="AI11" i="2"/>
  <c r="AN10" i="2"/>
  <c r="AN11" i="2" s="1"/>
  <c r="AR10" i="2"/>
  <c r="AR11" i="2" s="1"/>
  <c r="AV10" i="2"/>
  <c r="AV11" i="2" s="1"/>
  <c r="AB10" i="2"/>
  <c r="AB11" i="2" s="1"/>
  <c r="AC10" i="2"/>
  <c r="AC11" i="2" s="1"/>
  <c r="AD10" i="2"/>
  <c r="AD11" i="2" s="1"/>
  <c r="AE10" i="2"/>
  <c r="AF10" i="2"/>
  <c r="AF11" i="2" s="1"/>
  <c r="AG10" i="2"/>
  <c r="AG11" i="2" s="1"/>
  <c r="AH10" i="2"/>
  <c r="AH11" i="2" s="1"/>
  <c r="AI10" i="2"/>
  <c r="AJ10" i="2"/>
  <c r="AJ11" i="2" s="1"/>
  <c r="AK10" i="2"/>
  <c r="AK11" i="2" s="1"/>
  <c r="AL10" i="2"/>
  <c r="AO10" i="2" s="1"/>
  <c r="AO11" i="2" s="1"/>
  <c r="AA10" i="2"/>
  <c r="C86" i="9"/>
  <c r="D86" i="9"/>
  <c r="E86" i="9"/>
  <c r="F86" i="9"/>
  <c r="G86" i="9"/>
  <c r="C22" i="9"/>
  <c r="C9" i="10"/>
  <c r="C26" i="2"/>
  <c r="AM10" i="2" l="1"/>
  <c r="AM11" i="2" s="1"/>
  <c r="AU10" i="2"/>
  <c r="AU11" i="2" s="1"/>
  <c r="AQ10" i="2"/>
  <c r="AQ11" i="2" s="1"/>
  <c r="AL11" i="2"/>
  <c r="AX10" i="2"/>
  <c r="AT10" i="2"/>
  <c r="AT11" i="2" s="1"/>
  <c r="AP10" i="2"/>
  <c r="AP11" i="2" s="1"/>
  <c r="AW10" i="2"/>
  <c r="AW11" i="2" s="1"/>
  <c r="AS10" i="2"/>
  <c r="AS11" i="2" s="1"/>
  <c r="F90" i="2"/>
  <c r="G90" i="2"/>
  <c r="F96" i="2"/>
  <c r="G96" i="2"/>
  <c r="F97" i="2"/>
  <c r="G97" i="2"/>
  <c r="F98" i="2"/>
  <c r="G98" i="2"/>
  <c r="F100" i="2"/>
  <c r="G100" i="2"/>
  <c r="F101" i="2"/>
  <c r="G101" i="2"/>
  <c r="F102" i="2"/>
  <c r="G102" i="2"/>
  <c r="F103" i="2"/>
  <c r="G103" i="2"/>
  <c r="F104" i="2"/>
  <c r="G104" i="2"/>
  <c r="F105" i="2"/>
  <c r="G105" i="2"/>
  <c r="F106" i="2"/>
  <c r="G106" i="2"/>
  <c r="F107" i="2"/>
  <c r="G107" i="2"/>
  <c r="F108" i="2"/>
  <c r="G108" i="2"/>
  <c r="F109" i="2"/>
  <c r="G109" i="2"/>
  <c r="A145" i="2"/>
  <c r="A146" i="2"/>
  <c r="E90" i="2"/>
  <c r="E96" i="2"/>
  <c r="E97" i="2"/>
  <c r="E98" i="2"/>
  <c r="E100" i="2"/>
  <c r="E101" i="2"/>
  <c r="E102" i="2"/>
  <c r="E103" i="2"/>
  <c r="E104" i="2"/>
  <c r="E105" i="2"/>
  <c r="E106" i="2"/>
  <c r="E107" i="2"/>
  <c r="E108" i="2"/>
  <c r="E109" i="2"/>
  <c r="D90" i="2"/>
  <c r="D96" i="2"/>
  <c r="D97" i="2"/>
  <c r="D98" i="2"/>
  <c r="D100" i="2"/>
  <c r="D101" i="2"/>
  <c r="D102" i="2"/>
  <c r="D103" i="2"/>
  <c r="D104" i="2"/>
  <c r="D105" i="2"/>
  <c r="D106" i="2"/>
  <c r="D107" i="2"/>
  <c r="D108" i="2"/>
  <c r="D109" i="2"/>
  <c r="C90" i="2"/>
  <c r="C96" i="2"/>
  <c r="C97" i="2"/>
  <c r="C98" i="2"/>
  <c r="C100" i="2"/>
  <c r="C101" i="2"/>
  <c r="C102" i="2"/>
  <c r="C103" i="2"/>
  <c r="C104" i="2"/>
  <c r="C105" i="2"/>
  <c r="C106" i="2"/>
  <c r="C107" i="2"/>
  <c r="C108" i="2"/>
  <c r="C109" i="2"/>
  <c r="A110" i="2"/>
  <c r="A108" i="2"/>
  <c r="A144" i="2" s="1"/>
  <c r="A109" i="2"/>
  <c r="A107" i="2"/>
  <c r="A143" i="2" s="1"/>
  <c r="A106" i="2"/>
  <c r="A142" i="2" s="1"/>
  <c r="A105" i="2"/>
  <c r="A141" i="2" s="1"/>
  <c r="A89" i="2"/>
  <c r="A125" i="2" s="1"/>
  <c r="A90" i="2"/>
  <c r="A126" i="2" s="1"/>
  <c r="A91" i="2"/>
  <c r="A127" i="2" s="1"/>
  <c r="A92" i="2"/>
  <c r="A128" i="2" s="1"/>
  <c r="A93" i="2"/>
  <c r="A129" i="2" s="1"/>
  <c r="A94" i="2"/>
  <c r="A130" i="2" s="1"/>
  <c r="A95" i="2"/>
  <c r="A131" i="2" s="1"/>
  <c r="A96" i="2"/>
  <c r="A132" i="2" s="1"/>
  <c r="A97" i="2"/>
  <c r="A133" i="2" s="1"/>
  <c r="A98" i="2"/>
  <c r="A134" i="2" s="1"/>
  <c r="A99" i="2"/>
  <c r="A135" i="2" s="1"/>
  <c r="A100" i="2"/>
  <c r="A136" i="2" s="1"/>
  <c r="A101" i="2"/>
  <c r="A137" i="2" s="1"/>
  <c r="A102" i="2"/>
  <c r="A138" i="2" s="1"/>
  <c r="A103" i="2"/>
  <c r="A139" i="2" s="1"/>
  <c r="A104" i="2"/>
  <c r="A140" i="2" s="1"/>
  <c r="F36" i="6"/>
  <c r="G36" i="6"/>
  <c r="F56" i="10"/>
  <c r="G56" i="10"/>
  <c r="F57" i="10"/>
  <c r="G57" i="10"/>
  <c r="C5" i="2"/>
  <c r="C8" i="2"/>
  <c r="BA10" i="2" l="1"/>
  <c r="BA11" i="2" s="1"/>
  <c r="BE10" i="2"/>
  <c r="BE11" i="2" s="1"/>
  <c r="BI10" i="2"/>
  <c r="BI11" i="2" s="1"/>
  <c r="BB10" i="2"/>
  <c r="BB11" i="2" s="1"/>
  <c r="BF10" i="2"/>
  <c r="BF11" i="2" s="1"/>
  <c r="BJ10" i="2"/>
  <c r="BJ11" i="2" s="1"/>
  <c r="AZ10" i="2"/>
  <c r="AZ11" i="2" s="1"/>
  <c r="BH10" i="2"/>
  <c r="BH11" i="2" s="1"/>
  <c r="AX11" i="2"/>
  <c r="BC10" i="2"/>
  <c r="BC11" i="2" s="1"/>
  <c r="BG10" i="2"/>
  <c r="BG11" i="2" s="1"/>
  <c r="AY10" i="2"/>
  <c r="AY11" i="2" s="1"/>
  <c r="BD10" i="2"/>
  <c r="BD11" i="2" s="1"/>
  <c r="B107" i="2"/>
  <c r="B143" i="2" s="1"/>
  <c r="B109" i="2"/>
  <c r="B145" i="2" s="1"/>
  <c r="B108" i="2"/>
  <c r="B144" i="2" s="1"/>
  <c r="B12" i="2"/>
  <c r="B16" i="2" l="1"/>
  <c r="B17" i="2"/>
  <c r="B18" i="2"/>
  <c r="B19" i="2"/>
  <c r="AM14" i="9"/>
  <c r="AN14" i="9"/>
  <c r="AO14" i="9"/>
  <c r="AP14" i="9"/>
  <c r="AQ14" i="9"/>
  <c r="AR14" i="9"/>
  <c r="AS14" i="9"/>
  <c r="AT14" i="9"/>
  <c r="AU14" i="9"/>
  <c r="AV14" i="9"/>
  <c r="AW14" i="9"/>
  <c r="AX14" i="9"/>
  <c r="AY14" i="9"/>
  <c r="AZ14" i="9"/>
  <c r="BA14" i="9"/>
  <c r="BB14" i="9"/>
  <c r="BC14" i="9"/>
  <c r="BD14" i="9"/>
  <c r="BE14" i="9"/>
  <c r="BF14" i="9"/>
  <c r="BG14" i="9"/>
  <c r="BH14" i="9"/>
  <c r="BI14" i="9"/>
  <c r="BJ14" i="9"/>
  <c r="AM15" i="9"/>
  <c r="AN15" i="9"/>
  <c r="AO15" i="9"/>
  <c r="AP15" i="9"/>
  <c r="AQ15" i="9"/>
  <c r="AR15" i="9"/>
  <c r="AS15" i="9"/>
  <c r="AT15" i="9"/>
  <c r="AU15" i="9"/>
  <c r="AV15" i="9"/>
  <c r="AW15" i="9"/>
  <c r="AX15" i="9"/>
  <c r="AY15" i="9"/>
  <c r="AZ15" i="9"/>
  <c r="BA15" i="9"/>
  <c r="BB15" i="9"/>
  <c r="BC15" i="9"/>
  <c r="BD15" i="9"/>
  <c r="BE15" i="9"/>
  <c r="BF15" i="9"/>
  <c r="BG15" i="9"/>
  <c r="BH15" i="9"/>
  <c r="BI15" i="9"/>
  <c r="BJ15" i="9"/>
  <c r="AM16" i="9"/>
  <c r="AN16" i="9"/>
  <c r="AO16" i="9"/>
  <c r="AP16" i="9"/>
  <c r="AQ16" i="9"/>
  <c r="AR16" i="9"/>
  <c r="AS16" i="9"/>
  <c r="AT16" i="9"/>
  <c r="AU16" i="9"/>
  <c r="AV16" i="9"/>
  <c r="AW16" i="9"/>
  <c r="AX16" i="9"/>
  <c r="AY16" i="9"/>
  <c r="AZ16" i="9"/>
  <c r="BA16" i="9"/>
  <c r="BB16" i="9"/>
  <c r="BC16" i="9"/>
  <c r="BD16" i="9"/>
  <c r="BE16" i="9"/>
  <c r="BF16" i="9"/>
  <c r="BG16" i="9"/>
  <c r="BH16" i="9"/>
  <c r="BI16" i="9"/>
  <c r="BJ16" i="9"/>
  <c r="AM22" i="9"/>
  <c r="AN22" i="9"/>
  <c r="AO22" i="9"/>
  <c r="AP22" i="9"/>
  <c r="AQ22" i="9"/>
  <c r="AR22" i="9"/>
  <c r="AS22" i="9"/>
  <c r="AT22" i="9"/>
  <c r="AU22" i="9"/>
  <c r="AV22" i="9"/>
  <c r="AW22" i="9"/>
  <c r="AX22" i="9"/>
  <c r="AY22" i="9"/>
  <c r="AZ22" i="9"/>
  <c r="BA22" i="9"/>
  <c r="BB22" i="9"/>
  <c r="BC22" i="9"/>
  <c r="BD22" i="9"/>
  <c r="BE22" i="9"/>
  <c r="BF22" i="9"/>
  <c r="BG22" i="9"/>
  <c r="BH22" i="9"/>
  <c r="BI22" i="9"/>
  <c r="BJ22" i="9"/>
  <c r="AM26" i="9"/>
  <c r="AN26" i="9"/>
  <c r="AO26" i="9"/>
  <c r="AP8" i="10"/>
  <c r="AQ26" i="9"/>
  <c r="AR26" i="9"/>
  <c r="AS26" i="9"/>
  <c r="AT8" i="10"/>
  <c r="AU26" i="9"/>
  <c r="AV26" i="9"/>
  <c r="AW26" i="9"/>
  <c r="AX26" i="9"/>
  <c r="AY26" i="9"/>
  <c r="AZ26" i="9"/>
  <c r="BA26" i="9"/>
  <c r="BB8" i="10"/>
  <c r="BC26" i="9"/>
  <c r="BD26" i="9"/>
  <c r="BE26" i="9"/>
  <c r="BF8" i="10"/>
  <c r="BG26" i="9"/>
  <c r="BH26" i="9"/>
  <c r="BI26" i="9"/>
  <c r="BJ8" i="10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BF9" i="6"/>
  <c r="BG9" i="6"/>
  <c r="BH9" i="6"/>
  <c r="BI9" i="6"/>
  <c r="BJ9" i="6"/>
  <c r="AM21" i="40"/>
  <c r="AN21" i="40"/>
  <c r="AO21" i="40"/>
  <c r="AP21" i="40"/>
  <c r="AQ21" i="40"/>
  <c r="AR21" i="40"/>
  <c r="AS21" i="40"/>
  <c r="AT21" i="40"/>
  <c r="AU21" i="40"/>
  <c r="AV21" i="40"/>
  <c r="AW21" i="40"/>
  <c r="AX21" i="40"/>
  <c r="AY21" i="40"/>
  <c r="AZ21" i="40"/>
  <c r="BA21" i="40"/>
  <c r="BB21" i="40"/>
  <c r="BC21" i="40"/>
  <c r="BD21" i="40"/>
  <c r="BE21" i="40"/>
  <c r="BF21" i="40"/>
  <c r="BG21" i="40"/>
  <c r="BH21" i="40"/>
  <c r="BI21" i="40"/>
  <c r="BJ21" i="40"/>
  <c r="AM23" i="40"/>
  <c r="AN23" i="40"/>
  <c r="AO23" i="40"/>
  <c r="AP23" i="40"/>
  <c r="AQ23" i="40"/>
  <c r="AR23" i="40"/>
  <c r="AS23" i="40"/>
  <c r="AT23" i="40"/>
  <c r="AU23" i="40"/>
  <c r="AV23" i="40"/>
  <c r="AW23" i="40"/>
  <c r="AX23" i="40"/>
  <c r="AY23" i="40"/>
  <c r="AZ23" i="40"/>
  <c r="BA23" i="40"/>
  <c r="BB23" i="40"/>
  <c r="BC23" i="40"/>
  <c r="BD23" i="40"/>
  <c r="BE23" i="40"/>
  <c r="BF23" i="40"/>
  <c r="BG23" i="40"/>
  <c r="BH23" i="40"/>
  <c r="BI23" i="40"/>
  <c r="BJ23" i="40"/>
  <c r="AM27" i="40"/>
  <c r="AN27" i="40"/>
  <c r="AO27" i="40"/>
  <c r="AP27" i="40"/>
  <c r="AQ27" i="40"/>
  <c r="AR27" i="40"/>
  <c r="AS27" i="40"/>
  <c r="AT27" i="40"/>
  <c r="AU27" i="40"/>
  <c r="AV27" i="40"/>
  <c r="AW27" i="40"/>
  <c r="AX27" i="40"/>
  <c r="AY27" i="40"/>
  <c r="AZ27" i="40"/>
  <c r="BA27" i="40"/>
  <c r="BB27" i="40"/>
  <c r="BC27" i="40"/>
  <c r="BD27" i="40"/>
  <c r="BE27" i="40"/>
  <c r="BF27" i="40"/>
  <c r="BG27" i="40"/>
  <c r="BH27" i="40"/>
  <c r="BI27" i="40"/>
  <c r="BJ27" i="40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BG9" i="3"/>
  <c r="BH9" i="3"/>
  <c r="BI9" i="3"/>
  <c r="BJ9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F58" i="2"/>
  <c r="B59" i="2"/>
  <c r="B60" i="2"/>
  <c r="B61" i="2"/>
  <c r="B62" i="2"/>
  <c r="B63" i="2"/>
  <c r="B64" i="2"/>
  <c r="B58" i="2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E9" i="3"/>
  <c r="C9" i="3"/>
  <c r="A9" i="3"/>
  <c r="B30" i="3"/>
  <c r="B31" i="3"/>
  <c r="B32" i="3"/>
  <c r="B33" i="3"/>
  <c r="B29" i="3"/>
  <c r="G88" i="9" l="1"/>
  <c r="F88" i="9"/>
  <c r="G87" i="9"/>
  <c r="F87" i="9"/>
  <c r="AN8" i="10"/>
  <c r="AV8" i="10"/>
  <c r="AS8" i="10"/>
  <c r="BD8" i="10"/>
  <c r="BI8" i="10"/>
  <c r="AY8" i="10"/>
  <c r="AO8" i="10"/>
  <c r="BC8" i="10"/>
  <c r="AM8" i="10"/>
  <c r="BE8" i="10"/>
  <c r="AQ8" i="10"/>
  <c r="AW8" i="10"/>
  <c r="AU8" i="10"/>
  <c r="BA8" i="10"/>
  <c r="BG8" i="10"/>
  <c r="AR8" i="10"/>
  <c r="BH8" i="10"/>
  <c r="AZ8" i="10"/>
  <c r="BJ26" i="9"/>
  <c r="BF26" i="9"/>
  <c r="AP26" i="9"/>
  <c r="AT26" i="9"/>
  <c r="BB26" i="9"/>
  <c r="AX8" i="10"/>
  <c r="B9" i="3"/>
  <c r="H38" i="1" l="1"/>
  <c r="G38" i="1"/>
  <c r="C7" i="2"/>
  <c r="H37" i="1"/>
  <c r="G37" i="1"/>
  <c r="C15" i="1"/>
  <c r="C16" i="1"/>
  <c r="H31" i="1"/>
  <c r="H32" i="1"/>
  <c r="H33" i="1"/>
  <c r="H34" i="1"/>
  <c r="H35" i="1"/>
  <c r="H36" i="1"/>
  <c r="G31" i="1"/>
  <c r="G32" i="1"/>
  <c r="G33" i="1"/>
  <c r="G34" i="1"/>
  <c r="G35" i="1"/>
  <c r="G36" i="1"/>
  <c r="H30" i="1"/>
  <c r="A37" i="1"/>
  <c r="A34" i="1"/>
  <c r="A35" i="1"/>
  <c r="A36" i="1"/>
  <c r="A31" i="1"/>
  <c r="A32" i="1"/>
  <c r="A33" i="1"/>
  <c r="E59" i="2"/>
  <c r="E60" i="2"/>
  <c r="F61" i="2"/>
  <c r="F62" i="2"/>
  <c r="F63" i="2"/>
  <c r="F64" i="2"/>
  <c r="E65" i="2"/>
  <c r="B66" i="2"/>
  <c r="B13" i="2"/>
  <c r="B14" i="2"/>
  <c r="B20" i="2"/>
  <c r="B21" i="2"/>
  <c r="B22" i="2"/>
  <c r="B23" i="2"/>
  <c r="B24" i="2"/>
  <c r="B25" i="2"/>
  <c r="C4" i="2" l="1"/>
  <c r="C14" i="1"/>
  <c r="E64" i="2"/>
  <c r="E61" i="2"/>
  <c r="E63" i="2"/>
  <c r="E62" i="2"/>
  <c r="F60" i="2"/>
  <c r="C13" i="1"/>
  <c r="C10" i="1"/>
  <c r="C9" i="1"/>
  <c r="C12" i="1"/>
  <c r="C8" i="1"/>
  <c r="C11" i="1"/>
  <c r="C7" i="1"/>
  <c r="F59" i="2"/>
  <c r="B103" i="2"/>
  <c r="B139" i="2" s="1"/>
  <c r="B100" i="2"/>
  <c r="B136" i="2" s="1"/>
  <c r="B102" i="2"/>
  <c r="B138" i="2" s="1"/>
  <c r="B98" i="2"/>
  <c r="B134" i="2" s="1"/>
  <c r="B101" i="2"/>
  <c r="B137" i="2" s="1"/>
  <c r="B97" i="2"/>
  <c r="B133" i="2" s="1"/>
  <c r="B14" i="10"/>
  <c r="G30" i="1"/>
  <c r="C6" i="1" l="1"/>
  <c r="C17" i="1" s="1"/>
  <c r="D8" i="10"/>
  <c r="C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AI8" i="10"/>
  <c r="AJ8" i="10"/>
  <c r="AK8" i="10"/>
  <c r="AL8" i="10"/>
  <c r="E8" i="10"/>
  <c r="C8" i="3"/>
  <c r="B8" i="3" s="1"/>
  <c r="A8" i="3"/>
  <c r="C5" i="3"/>
  <c r="C6" i="3"/>
  <c r="D7" i="3"/>
  <c r="E7" i="3"/>
  <c r="F7" i="3"/>
  <c r="G7" i="3"/>
  <c r="H7" i="3"/>
  <c r="C7" i="3"/>
  <c r="C19" i="1" l="1"/>
  <c r="C18" i="1" s="1"/>
  <c r="G51" i="10"/>
  <c r="F51" i="10"/>
  <c r="B7" i="3"/>
  <c r="C10" i="3"/>
  <c r="B8" i="10"/>
  <c r="A60" i="1" l="1"/>
  <c r="A58" i="1"/>
  <c r="A59" i="1"/>
  <c r="A56" i="1"/>
  <c r="A57" i="1"/>
  <c r="A55" i="1"/>
  <c r="E58" i="2" l="1"/>
  <c r="E66" i="2" s="1"/>
  <c r="C66" i="2"/>
  <c r="F66" i="2"/>
  <c r="C10" i="2" l="1"/>
  <c r="J37" i="1"/>
  <c r="A30" i="1"/>
  <c r="F95" i="2" l="1"/>
  <c r="G94" i="2"/>
  <c r="F94" i="2"/>
  <c r="G95" i="2"/>
  <c r="BI15" i="2"/>
  <c r="BI9" i="2" s="1"/>
  <c r="BJ15" i="2"/>
  <c r="BJ9" i="2" s="1"/>
  <c r="BG15" i="2"/>
  <c r="BG9" i="2" s="1"/>
  <c r="AZ15" i="2"/>
  <c r="AZ9" i="2" s="1"/>
  <c r="BE15" i="2"/>
  <c r="BE9" i="2" s="1"/>
  <c r="BB15" i="2"/>
  <c r="BB9" i="2" s="1"/>
  <c r="BH15" i="2"/>
  <c r="BH9" i="2" s="1"/>
  <c r="BC15" i="2"/>
  <c r="BC9" i="2" s="1"/>
  <c r="BF15" i="2"/>
  <c r="BF9" i="2" s="1"/>
  <c r="BA15" i="2"/>
  <c r="BA9" i="2" s="1"/>
  <c r="BD15" i="2"/>
  <c r="BD9" i="2" s="1"/>
  <c r="AY15" i="2"/>
  <c r="AP15" i="2"/>
  <c r="AP9" i="2" s="1"/>
  <c r="AU15" i="2"/>
  <c r="AU9" i="2" s="1"/>
  <c r="AS15" i="2"/>
  <c r="AS9" i="2" s="1"/>
  <c r="AN15" i="2"/>
  <c r="AN9" i="2" s="1"/>
  <c r="AO15" i="2"/>
  <c r="AO9" i="2" s="1"/>
  <c r="AM15" i="2"/>
  <c r="AX15" i="2"/>
  <c r="AX9" i="2" s="1"/>
  <c r="AV15" i="2"/>
  <c r="AV9" i="2" s="1"/>
  <c r="AQ15" i="2"/>
  <c r="AQ9" i="2" s="1"/>
  <c r="AT15" i="2"/>
  <c r="AT9" i="2" s="1"/>
  <c r="AW15" i="2"/>
  <c r="AW9" i="2" s="1"/>
  <c r="AR15" i="2"/>
  <c r="AR9" i="2" s="1"/>
  <c r="A5" i="3"/>
  <c r="AY9" i="2" l="1"/>
  <c r="G93" i="2" s="1"/>
  <c r="G99" i="2"/>
  <c r="AM9" i="2"/>
  <c r="F93" i="2" s="1"/>
  <c r="F99" i="2"/>
  <c r="B71" i="40"/>
  <c r="C14" i="40" l="1"/>
  <c r="A8" i="14" l="1"/>
  <c r="F45" i="2"/>
  <c r="F43" i="2"/>
  <c r="F41" i="2"/>
  <c r="F39" i="2"/>
  <c r="F37" i="2"/>
  <c r="A52" i="1"/>
  <c r="A53" i="1"/>
  <c r="A54" i="1"/>
  <c r="A51" i="1"/>
  <c r="D21" i="1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10" i="3"/>
  <c r="N10" i="3"/>
  <c r="D5" i="2" l="1"/>
  <c r="D14" i="1"/>
  <c r="D7" i="2"/>
  <c r="D8" i="2"/>
  <c r="D12" i="1"/>
  <c r="D9" i="1"/>
  <c r="D13" i="1"/>
  <c r="D11" i="1"/>
  <c r="D7" i="1"/>
  <c r="D10" i="1"/>
  <c r="D8" i="1"/>
  <c r="D6" i="1"/>
  <c r="E21" i="1"/>
  <c r="F21" i="1" s="1"/>
  <c r="D16" i="1"/>
  <c r="D15" i="1"/>
  <c r="E7" i="1" l="1"/>
  <c r="F5" i="2"/>
  <c r="F14" i="1"/>
  <c r="E5" i="2"/>
  <c r="E14" i="1"/>
  <c r="D4" i="2"/>
  <c r="F8" i="2"/>
  <c r="F7" i="2"/>
  <c r="E7" i="2"/>
  <c r="E8" i="2"/>
  <c r="F10" i="1"/>
  <c r="F13" i="1"/>
  <c r="F16" i="1"/>
  <c r="F15" i="1"/>
  <c r="F11" i="1"/>
  <c r="F6" i="1"/>
  <c r="F9" i="1"/>
  <c r="F12" i="1"/>
  <c r="F8" i="1"/>
  <c r="F7" i="1"/>
  <c r="E10" i="1"/>
  <c r="E13" i="1"/>
  <c r="E16" i="1"/>
  <c r="E11" i="1"/>
  <c r="E15" i="1"/>
  <c r="E6" i="1"/>
  <c r="E8" i="1"/>
  <c r="E12" i="1"/>
  <c r="E9" i="1"/>
  <c r="D17" i="1"/>
  <c r="G21" i="1"/>
  <c r="A9" i="42"/>
  <c r="C7" i="42"/>
  <c r="C24" i="42" s="1"/>
  <c r="G5" i="2" l="1"/>
  <c r="G14" i="1"/>
  <c r="E95" i="2"/>
  <c r="D95" i="2"/>
  <c r="F4" i="2"/>
  <c r="E4" i="2"/>
  <c r="G7" i="2"/>
  <c r="G8" i="2"/>
  <c r="E17" i="1"/>
  <c r="E19" i="1" s="1"/>
  <c r="E18" i="1" s="1"/>
  <c r="G11" i="1"/>
  <c r="G15" i="1"/>
  <c r="G10" i="1"/>
  <c r="G13" i="1"/>
  <c r="G16" i="1"/>
  <c r="G6" i="1"/>
  <c r="G9" i="1"/>
  <c r="G8" i="1"/>
  <c r="G12" i="1"/>
  <c r="G7" i="1"/>
  <c r="F17" i="1"/>
  <c r="F19" i="1" s="1"/>
  <c r="F18" i="1" s="1"/>
  <c r="D19" i="1"/>
  <c r="D18" i="1" s="1"/>
  <c r="H21" i="1"/>
  <c r="D48" i="3"/>
  <c r="E48" i="3"/>
  <c r="G21" i="40"/>
  <c r="H21" i="40"/>
  <c r="I21" i="40"/>
  <c r="J21" i="40"/>
  <c r="K21" i="40"/>
  <c r="N21" i="40"/>
  <c r="H5" i="2" l="1"/>
  <c r="H14" i="1"/>
  <c r="G4" i="2"/>
  <c r="H7" i="2"/>
  <c r="H8" i="2"/>
  <c r="H10" i="1"/>
  <c r="H13" i="1"/>
  <c r="H11" i="1"/>
  <c r="H15" i="1"/>
  <c r="H16" i="1"/>
  <c r="H6" i="1"/>
  <c r="H9" i="1"/>
  <c r="H8" i="1"/>
  <c r="H12" i="1"/>
  <c r="H7" i="1"/>
  <c r="G17" i="1"/>
  <c r="G19" i="1" s="1"/>
  <c r="G18" i="1" s="1"/>
  <c r="I21" i="1"/>
  <c r="C48" i="3"/>
  <c r="B48" i="3" s="1"/>
  <c r="I5" i="2" l="1"/>
  <c r="I14" i="1"/>
  <c r="H4" i="2"/>
  <c r="I7" i="2"/>
  <c r="I8" i="2"/>
  <c r="I10" i="1"/>
  <c r="I13" i="1"/>
  <c r="I16" i="1"/>
  <c r="I11" i="1"/>
  <c r="I15" i="1"/>
  <c r="I6" i="1"/>
  <c r="I9" i="1"/>
  <c r="I8" i="1"/>
  <c r="I12" i="1"/>
  <c r="I7" i="1"/>
  <c r="H17" i="1"/>
  <c r="H19" i="1" s="1"/>
  <c r="H18" i="1" s="1"/>
  <c r="J21" i="1"/>
  <c r="C14" i="9"/>
  <c r="J5" i="2" l="1"/>
  <c r="J14" i="1"/>
  <c r="I4" i="2"/>
  <c r="J8" i="2"/>
  <c r="J7" i="2"/>
  <c r="J11" i="1"/>
  <c r="J10" i="1"/>
  <c r="J13" i="1"/>
  <c r="J16" i="1"/>
  <c r="J15" i="1"/>
  <c r="J6" i="1"/>
  <c r="J9" i="1"/>
  <c r="J12" i="1"/>
  <c r="J8" i="1"/>
  <c r="J7" i="1"/>
  <c r="I17" i="1"/>
  <c r="K21" i="1"/>
  <c r="K5" i="2" l="1"/>
  <c r="K14" i="1"/>
  <c r="J4" i="2"/>
  <c r="K8" i="2"/>
  <c r="K7" i="2"/>
  <c r="J17" i="1"/>
  <c r="J19" i="1" s="1"/>
  <c r="J18" i="1" s="1"/>
  <c r="K11" i="1"/>
  <c r="K15" i="1"/>
  <c r="K10" i="1"/>
  <c r="K13" i="1"/>
  <c r="K16" i="1"/>
  <c r="K6" i="1"/>
  <c r="K9" i="1"/>
  <c r="K8" i="1"/>
  <c r="K12" i="1"/>
  <c r="K7" i="1"/>
  <c r="I19" i="1"/>
  <c r="I18" i="1" s="1"/>
  <c r="L21" i="1"/>
  <c r="L5" i="2" l="1"/>
  <c r="L14" i="1"/>
  <c r="K4" i="2"/>
  <c r="L7" i="2"/>
  <c r="L8" i="2"/>
  <c r="L10" i="1"/>
  <c r="L16" i="1"/>
  <c r="L11" i="1"/>
  <c r="L15" i="1"/>
  <c r="L13" i="1"/>
  <c r="L6" i="1"/>
  <c r="L9" i="1"/>
  <c r="L8" i="1"/>
  <c r="L12" i="1"/>
  <c r="L7" i="1"/>
  <c r="K17" i="1"/>
  <c r="M21" i="1"/>
  <c r="C28" i="47"/>
  <c r="B30" i="47" s="1"/>
  <c r="E9" i="47"/>
  <c r="B8" i="47" s="1"/>
  <c r="B6" i="47"/>
  <c r="M5" i="2" l="1"/>
  <c r="M14" i="1"/>
  <c r="L4" i="2"/>
  <c r="M7" i="2"/>
  <c r="M8" i="2"/>
  <c r="K19" i="1"/>
  <c r="K18" i="1" s="1"/>
  <c r="L17" i="1"/>
  <c r="L19" i="1" s="1"/>
  <c r="L18" i="1" s="1"/>
  <c r="M10" i="1"/>
  <c r="M13" i="1"/>
  <c r="M16" i="1"/>
  <c r="M11" i="1"/>
  <c r="M15" i="1"/>
  <c r="M6" i="1"/>
  <c r="M12" i="1"/>
  <c r="M9" i="1"/>
  <c r="M8" i="1"/>
  <c r="M7" i="1"/>
  <c r="B10" i="47"/>
  <c r="B32" i="47" s="1"/>
  <c r="N21" i="1"/>
  <c r="M4" i="2" l="1"/>
  <c r="N5" i="2"/>
  <c r="C89" i="2" s="1"/>
  <c r="N14" i="1"/>
  <c r="C58" i="1" s="1"/>
  <c r="N8" i="2"/>
  <c r="C92" i="2" s="1"/>
  <c r="N7" i="2"/>
  <c r="M17" i="1"/>
  <c r="M19" i="1" s="1"/>
  <c r="M18" i="1" s="1"/>
  <c r="N10" i="1"/>
  <c r="C54" i="1" s="1"/>
  <c r="N13" i="1"/>
  <c r="C57" i="1" s="1"/>
  <c r="N16" i="1"/>
  <c r="C60" i="1" s="1"/>
  <c r="N15" i="1"/>
  <c r="C59" i="1" s="1"/>
  <c r="N11" i="1"/>
  <c r="C55" i="1" s="1"/>
  <c r="N6" i="1"/>
  <c r="N8" i="1"/>
  <c r="N12" i="1"/>
  <c r="C56" i="1" s="1"/>
  <c r="N9" i="1"/>
  <c r="C53" i="1" s="1"/>
  <c r="N7" i="1"/>
  <c r="C52" i="1" s="1"/>
  <c r="O21" i="1"/>
  <c r="O5" i="2" l="1"/>
  <c r="O14" i="1"/>
  <c r="N4" i="2"/>
  <c r="C91" i="2"/>
  <c r="O6" i="1"/>
  <c r="O7" i="2"/>
  <c r="O8" i="2"/>
  <c r="N17" i="1"/>
  <c r="N19" i="1" s="1"/>
  <c r="N18" i="1" s="1"/>
  <c r="O11" i="1"/>
  <c r="O15" i="1"/>
  <c r="O10" i="1"/>
  <c r="O13" i="1"/>
  <c r="O16" i="1"/>
  <c r="O12" i="1"/>
  <c r="O9" i="1"/>
  <c r="O8" i="1"/>
  <c r="O7" i="1"/>
  <c r="C51" i="1"/>
  <c r="P21" i="1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7" i="3"/>
  <c r="A48" i="3" s="1"/>
  <c r="Q21" i="40"/>
  <c r="R21" i="40"/>
  <c r="S21" i="40"/>
  <c r="T21" i="40"/>
  <c r="U21" i="40"/>
  <c r="V21" i="40"/>
  <c r="W21" i="40"/>
  <c r="X21" i="40"/>
  <c r="Y21" i="40"/>
  <c r="Z21" i="40"/>
  <c r="AA21" i="40"/>
  <c r="AB21" i="40"/>
  <c r="AC21" i="40"/>
  <c r="AD21" i="40"/>
  <c r="AE21" i="40"/>
  <c r="AF21" i="40"/>
  <c r="AG21" i="40"/>
  <c r="AH21" i="40"/>
  <c r="AI21" i="40"/>
  <c r="AJ21" i="40"/>
  <c r="AK21" i="40"/>
  <c r="AL21" i="40"/>
  <c r="E87" i="9" l="1"/>
  <c r="D87" i="9"/>
  <c r="P5" i="2"/>
  <c r="P14" i="1"/>
  <c r="O4" i="2"/>
  <c r="P7" i="2"/>
  <c r="P8" i="2"/>
  <c r="P13" i="1"/>
  <c r="P11" i="1"/>
  <c r="P15" i="1"/>
  <c r="P16" i="1"/>
  <c r="P10" i="1"/>
  <c r="P6" i="1"/>
  <c r="P9" i="1"/>
  <c r="P8" i="1"/>
  <c r="P12" i="1"/>
  <c r="P7" i="1"/>
  <c r="O17" i="1"/>
  <c r="O19" i="1" s="1"/>
  <c r="O18" i="1" s="1"/>
  <c r="D73" i="40"/>
  <c r="Q21" i="1"/>
  <c r="E5" i="3"/>
  <c r="E10" i="3" s="1"/>
  <c r="Q5" i="2" l="1"/>
  <c r="Q14" i="1"/>
  <c r="P4" i="2"/>
  <c r="Q7" i="2"/>
  <c r="Q4" i="2" s="1"/>
  <c r="Q8" i="2"/>
  <c r="P17" i="1"/>
  <c r="Q10" i="1"/>
  <c r="Q13" i="1"/>
  <c r="Q16" i="1"/>
  <c r="Q11" i="1"/>
  <c r="Q15" i="1"/>
  <c r="Q6" i="1"/>
  <c r="Q12" i="1"/>
  <c r="Q9" i="1"/>
  <c r="Q8" i="1"/>
  <c r="Q7" i="1"/>
  <c r="R21" i="1"/>
  <c r="E14" i="9"/>
  <c r="K5" i="3"/>
  <c r="K10" i="3" s="1"/>
  <c r="G5" i="3"/>
  <c r="G10" i="3" s="1"/>
  <c r="L5" i="3"/>
  <c r="H5" i="3"/>
  <c r="H10" i="3" s="1"/>
  <c r="D5" i="3"/>
  <c r="D10" i="3" s="1"/>
  <c r="J5" i="3"/>
  <c r="J10" i="3" s="1"/>
  <c r="F5" i="3"/>
  <c r="F10" i="3" s="1"/>
  <c r="M5" i="3"/>
  <c r="I5" i="3"/>
  <c r="I10" i="3" s="1"/>
  <c r="R5" i="2" l="1"/>
  <c r="R14" i="1"/>
  <c r="R8" i="2"/>
  <c r="R7" i="2"/>
  <c r="Q17" i="1"/>
  <c r="Q6" i="9" s="1"/>
  <c r="P6" i="9"/>
  <c r="P19" i="1"/>
  <c r="P18" i="1" s="1"/>
  <c r="R11" i="1"/>
  <c r="R15" i="1"/>
  <c r="R10" i="1"/>
  <c r="R13" i="1"/>
  <c r="R16" i="1"/>
  <c r="R6" i="1"/>
  <c r="R9" i="1"/>
  <c r="R12" i="1"/>
  <c r="R8" i="1"/>
  <c r="R7" i="1"/>
  <c r="S21" i="1"/>
  <c r="F14" i="9"/>
  <c r="J14" i="9"/>
  <c r="I14" i="9"/>
  <c r="K14" i="9"/>
  <c r="G14" i="9"/>
  <c r="D14" i="9"/>
  <c r="H14" i="9"/>
  <c r="S5" i="2" l="1"/>
  <c r="S14" i="1"/>
  <c r="R4" i="2"/>
  <c r="S7" i="2"/>
  <c r="S8" i="2"/>
  <c r="Q19" i="1"/>
  <c r="Q18" i="1" s="1"/>
  <c r="S11" i="1"/>
  <c r="S15" i="1"/>
  <c r="S10" i="1"/>
  <c r="S13" i="1"/>
  <c r="S16" i="1"/>
  <c r="S6" i="1"/>
  <c r="S12" i="1"/>
  <c r="S9" i="1"/>
  <c r="S8" i="1"/>
  <c r="S7" i="1"/>
  <c r="R17" i="1"/>
  <c r="T21" i="1"/>
  <c r="D66" i="2"/>
  <c r="C27" i="40"/>
  <c r="O21" i="40"/>
  <c r="P21" i="40"/>
  <c r="C6" i="43"/>
  <c r="T5" i="2" l="1"/>
  <c r="T14" i="1"/>
  <c r="S4" i="2"/>
  <c r="T7" i="2"/>
  <c r="T8" i="2"/>
  <c r="L10" i="2"/>
  <c r="I10" i="2"/>
  <c r="F10" i="2"/>
  <c r="M10" i="2"/>
  <c r="N10" i="2"/>
  <c r="G10" i="2"/>
  <c r="D10" i="2"/>
  <c r="K10" i="2"/>
  <c r="H10" i="2"/>
  <c r="J10" i="2"/>
  <c r="E10" i="2"/>
  <c r="E15" i="2" s="1"/>
  <c r="R6" i="9"/>
  <c r="R19" i="1"/>
  <c r="R18" i="1" s="1"/>
  <c r="T10" i="1"/>
  <c r="T11" i="1"/>
  <c r="T15" i="1"/>
  <c r="T13" i="1"/>
  <c r="T16" i="1"/>
  <c r="T6" i="1"/>
  <c r="T12" i="1"/>
  <c r="T9" i="1"/>
  <c r="T8" i="1"/>
  <c r="T7" i="1"/>
  <c r="S17" i="1"/>
  <c r="C73" i="40"/>
  <c r="U21" i="1"/>
  <c r="D27" i="40"/>
  <c r="A6" i="3"/>
  <c r="U5" i="2" l="1"/>
  <c r="U14" i="1"/>
  <c r="D94" i="2"/>
  <c r="E94" i="2"/>
  <c r="C94" i="2"/>
  <c r="T4" i="2"/>
  <c r="U7" i="2"/>
  <c r="U8" i="2"/>
  <c r="Q15" i="2"/>
  <c r="Q9" i="2" s="1"/>
  <c r="AC15" i="2"/>
  <c r="P15" i="2"/>
  <c r="P9" i="2" s="1"/>
  <c r="AB15" i="2"/>
  <c r="J15" i="2"/>
  <c r="J9" i="2" s="1"/>
  <c r="AH15" i="2"/>
  <c r="AH9" i="2" s="1"/>
  <c r="M15" i="2"/>
  <c r="M9" i="2" s="1"/>
  <c r="Y15" i="2"/>
  <c r="Y9" i="2" s="1"/>
  <c r="X15" i="2"/>
  <c r="X9" i="2" s="1"/>
  <c r="AJ15" i="2"/>
  <c r="AJ9" i="2" s="1"/>
  <c r="G15" i="2"/>
  <c r="G9" i="2" s="1"/>
  <c r="Z15" i="2"/>
  <c r="Z9" i="2" s="1"/>
  <c r="S15" i="2"/>
  <c r="S9" i="2" s="1"/>
  <c r="I15" i="2"/>
  <c r="I9" i="2" s="1"/>
  <c r="AE15" i="2"/>
  <c r="AE9" i="2" s="1"/>
  <c r="AA15" i="2"/>
  <c r="D15" i="2"/>
  <c r="F15" i="2"/>
  <c r="F9" i="2" s="1"/>
  <c r="AD15" i="2"/>
  <c r="AD9" i="2" s="1"/>
  <c r="K15" i="2"/>
  <c r="K9" i="2" s="1"/>
  <c r="W15" i="2"/>
  <c r="W9" i="2" s="1"/>
  <c r="AI15" i="2"/>
  <c r="AI9" i="2" s="1"/>
  <c r="L15" i="2"/>
  <c r="L9" i="2" s="1"/>
  <c r="AK15" i="2"/>
  <c r="AK9" i="2" s="1"/>
  <c r="V15" i="2"/>
  <c r="V9" i="2" s="1"/>
  <c r="U15" i="2"/>
  <c r="U9" i="2" s="1"/>
  <c r="H15" i="2"/>
  <c r="H9" i="2" s="1"/>
  <c r="AG15" i="2"/>
  <c r="AG9" i="2" s="1"/>
  <c r="T15" i="2"/>
  <c r="T9" i="2" s="1"/>
  <c r="N15" i="2"/>
  <c r="N9" i="2" s="1"/>
  <c r="AF15" i="2"/>
  <c r="AF9" i="2" s="1"/>
  <c r="AL15" i="2"/>
  <c r="AL9" i="2" s="1"/>
  <c r="R15" i="2"/>
  <c r="R9" i="2" s="1"/>
  <c r="O15" i="2"/>
  <c r="E9" i="2"/>
  <c r="E27" i="2" s="1"/>
  <c r="U10" i="1"/>
  <c r="U13" i="1"/>
  <c r="U16" i="1"/>
  <c r="U11" i="1"/>
  <c r="U15" i="1"/>
  <c r="U6" i="1"/>
  <c r="U8" i="1"/>
  <c r="U9" i="1"/>
  <c r="U12" i="1"/>
  <c r="U7" i="1"/>
  <c r="T17" i="1"/>
  <c r="S6" i="9"/>
  <c r="S19" i="1"/>
  <c r="S18" i="1" s="1"/>
  <c r="V21" i="1"/>
  <c r="D99" i="2" l="1"/>
  <c r="V5" i="2"/>
  <c r="V14" i="1"/>
  <c r="E99" i="2"/>
  <c r="U4" i="2"/>
  <c r="B94" i="2"/>
  <c r="B130" i="2" s="1"/>
  <c r="AB9" i="2"/>
  <c r="AC9" i="2"/>
  <c r="D9" i="2"/>
  <c r="V8" i="2"/>
  <c r="V7" i="2"/>
  <c r="O9" i="2"/>
  <c r="D93" i="2" s="1"/>
  <c r="AA9" i="2"/>
  <c r="B10" i="2"/>
  <c r="C11" i="2"/>
  <c r="C95" i="2" s="1"/>
  <c r="B95" i="2" s="1"/>
  <c r="B131" i="2" s="1"/>
  <c r="U17" i="1"/>
  <c r="U6" i="9" s="1"/>
  <c r="V10" i="1"/>
  <c r="V13" i="1"/>
  <c r="V16" i="1"/>
  <c r="V11" i="1"/>
  <c r="V15" i="1"/>
  <c r="V6" i="1"/>
  <c r="V12" i="1"/>
  <c r="V9" i="1"/>
  <c r="V8" i="1"/>
  <c r="V7" i="1"/>
  <c r="T19" i="1"/>
  <c r="T18" i="1" s="1"/>
  <c r="T6" i="9"/>
  <c r="W21" i="1"/>
  <c r="L6" i="3"/>
  <c r="M6" i="3"/>
  <c r="M10" i="3" s="1"/>
  <c r="A26" i="42"/>
  <c r="A43" i="42" s="1"/>
  <c r="A60" i="42" s="1"/>
  <c r="A77" i="42" s="1"/>
  <c r="A94" i="42" s="1"/>
  <c r="C41" i="42"/>
  <c r="C58" i="42" s="1"/>
  <c r="C75" i="42" s="1"/>
  <c r="C92" i="42" s="1"/>
  <c r="E93" i="2" l="1"/>
  <c r="W5" i="2"/>
  <c r="W14" i="1"/>
  <c r="V4" i="2"/>
  <c r="C15" i="2"/>
  <c r="C99" i="2" s="1"/>
  <c r="B99" i="2" s="1"/>
  <c r="B135" i="2" s="1"/>
  <c r="W8" i="2"/>
  <c r="W7" i="2"/>
  <c r="L10" i="3"/>
  <c r="B10" i="3" s="1"/>
  <c r="B6" i="3"/>
  <c r="B11" i="2"/>
  <c r="U19" i="1"/>
  <c r="U18" i="1" s="1"/>
  <c r="W11" i="1"/>
  <c r="W15" i="1"/>
  <c r="W10" i="1"/>
  <c r="W13" i="1"/>
  <c r="W16" i="1"/>
  <c r="W6" i="1"/>
  <c r="W9" i="1"/>
  <c r="W8" i="1"/>
  <c r="W12" i="1"/>
  <c r="W7" i="1"/>
  <c r="V17" i="1"/>
  <c r="X21" i="1"/>
  <c r="M14" i="9"/>
  <c r="M21" i="40"/>
  <c r="L14" i="9"/>
  <c r="L21" i="40"/>
  <c r="C87" i="9" l="1"/>
  <c r="X5" i="2"/>
  <c r="X14" i="1"/>
  <c r="W4" i="2"/>
  <c r="X7" i="2"/>
  <c r="X4" i="2" s="1"/>
  <c r="X8" i="2"/>
  <c r="B96" i="2"/>
  <c r="B132" i="2" s="1"/>
  <c r="B15" i="2"/>
  <c r="C9" i="2"/>
  <c r="C93" i="2" s="1"/>
  <c r="W17" i="1"/>
  <c r="W6" i="9" s="1"/>
  <c r="X13" i="1"/>
  <c r="X11" i="1"/>
  <c r="X15" i="1"/>
  <c r="X10" i="1"/>
  <c r="X16" i="1"/>
  <c r="X6" i="1"/>
  <c r="X9" i="1"/>
  <c r="X8" i="1"/>
  <c r="X12" i="1"/>
  <c r="X7" i="1"/>
  <c r="V19" i="1"/>
  <c r="V18" i="1" s="1"/>
  <c r="V6" i="9"/>
  <c r="Y21" i="1"/>
  <c r="B93" i="2" l="1"/>
  <c r="B129" i="2" s="1"/>
  <c r="Y5" i="2"/>
  <c r="Y14" i="1"/>
  <c r="Y8" i="2"/>
  <c r="Y7" i="2"/>
  <c r="B9" i="2"/>
  <c r="C27" i="2"/>
  <c r="W19" i="1"/>
  <c r="W18" i="1" s="1"/>
  <c r="X17" i="1"/>
  <c r="X6" i="9" s="1"/>
  <c r="Y10" i="1"/>
  <c r="Y13" i="1"/>
  <c r="Y16" i="1"/>
  <c r="Y11" i="1"/>
  <c r="Y15" i="1"/>
  <c r="Y6" i="1"/>
  <c r="Y9" i="1"/>
  <c r="Y8" i="1"/>
  <c r="Y12" i="1"/>
  <c r="Y7" i="1"/>
  <c r="Z21" i="1"/>
  <c r="Z5" i="2" l="1"/>
  <c r="D89" i="2" s="1"/>
  <c r="Z14" i="1"/>
  <c r="D58" i="1" s="1"/>
  <c r="Y4" i="2"/>
  <c r="Z8" i="2"/>
  <c r="D92" i="2" s="1"/>
  <c r="Z7" i="2"/>
  <c r="D91" i="2" s="1"/>
  <c r="X19" i="1"/>
  <c r="X18" i="1" s="1"/>
  <c r="Y17" i="1"/>
  <c r="Y6" i="9" s="1"/>
  <c r="Z11" i="1"/>
  <c r="D55" i="1" s="1"/>
  <c r="Z10" i="1"/>
  <c r="D54" i="1" s="1"/>
  <c r="Z13" i="1"/>
  <c r="D57" i="1" s="1"/>
  <c r="Z16" i="1"/>
  <c r="D60" i="1" s="1"/>
  <c r="Z15" i="1"/>
  <c r="D59" i="1" s="1"/>
  <c r="Z6" i="1"/>
  <c r="Z9" i="1"/>
  <c r="D53" i="1" s="1"/>
  <c r="Z8" i="1"/>
  <c r="Z12" i="1"/>
  <c r="D56" i="1" s="1"/>
  <c r="Z7" i="1"/>
  <c r="D52" i="1" s="1"/>
  <c r="AA21" i="1"/>
  <c r="AA5" i="2" l="1"/>
  <c r="AA14" i="1"/>
  <c r="Z4" i="2"/>
  <c r="AA7" i="2"/>
  <c r="AA8" i="2"/>
  <c r="Y19" i="1"/>
  <c r="Y18" i="1" s="1"/>
  <c r="Z17" i="1"/>
  <c r="AA11" i="1"/>
  <c r="AA15" i="1"/>
  <c r="AA10" i="1"/>
  <c r="AA13" i="1"/>
  <c r="AA16" i="1"/>
  <c r="AA6" i="1"/>
  <c r="AA9" i="1"/>
  <c r="AA8" i="1"/>
  <c r="AA12" i="1"/>
  <c r="AA7" i="1"/>
  <c r="D51" i="1"/>
  <c r="AB21" i="1"/>
  <c r="D23" i="40"/>
  <c r="E23" i="40"/>
  <c r="G23" i="40"/>
  <c r="H23" i="40"/>
  <c r="I23" i="40"/>
  <c r="J23" i="40"/>
  <c r="K23" i="40"/>
  <c r="L23" i="40"/>
  <c r="M23" i="40"/>
  <c r="N23" i="40"/>
  <c r="O23" i="40"/>
  <c r="P23" i="40"/>
  <c r="Q23" i="40"/>
  <c r="R23" i="40"/>
  <c r="S23" i="40"/>
  <c r="T23" i="40"/>
  <c r="U23" i="40"/>
  <c r="V23" i="40"/>
  <c r="W23" i="40"/>
  <c r="X23" i="40"/>
  <c r="Y23" i="40"/>
  <c r="Z23" i="40"/>
  <c r="AA23" i="40"/>
  <c r="AB23" i="40"/>
  <c r="AC23" i="40"/>
  <c r="AD23" i="40"/>
  <c r="AE23" i="40"/>
  <c r="AF23" i="40"/>
  <c r="AG23" i="40"/>
  <c r="AH23" i="40"/>
  <c r="AI23" i="40"/>
  <c r="AJ23" i="40"/>
  <c r="AK23" i="40"/>
  <c r="AL23" i="40"/>
  <c r="B30" i="40"/>
  <c r="C9" i="40"/>
  <c r="B7" i="40"/>
  <c r="A7" i="40"/>
  <c r="A14" i="40" s="1"/>
  <c r="A21" i="40" s="1"/>
  <c r="A28" i="40" s="1"/>
  <c r="AB5" i="2" l="1"/>
  <c r="AB14" i="1"/>
  <c r="AA4" i="2"/>
  <c r="AB7" i="2"/>
  <c r="AB8" i="2"/>
  <c r="AB10" i="1"/>
  <c r="AB11" i="1"/>
  <c r="AB15" i="1"/>
  <c r="AB13" i="1"/>
  <c r="AB16" i="1"/>
  <c r="AB6" i="1"/>
  <c r="AB9" i="1"/>
  <c r="AB8" i="1"/>
  <c r="AB12" i="1"/>
  <c r="AB7" i="1"/>
  <c r="AA17" i="1"/>
  <c r="Z6" i="9"/>
  <c r="Z19" i="1"/>
  <c r="Z18" i="1" s="1"/>
  <c r="AC21" i="1"/>
  <c r="AC5" i="2" l="1"/>
  <c r="AC14" i="1"/>
  <c r="AB4" i="2"/>
  <c r="AC7" i="2"/>
  <c r="AC8" i="2"/>
  <c r="AB17" i="1"/>
  <c r="AB19" i="1" s="1"/>
  <c r="AB18" i="1" s="1"/>
  <c r="AC10" i="1"/>
  <c r="AC13" i="1"/>
  <c r="AC16" i="1"/>
  <c r="AC11" i="1"/>
  <c r="AC15" i="1"/>
  <c r="AC6" i="1"/>
  <c r="AC12" i="1"/>
  <c r="AC9" i="1"/>
  <c r="AC8" i="1"/>
  <c r="AC7" i="1"/>
  <c r="AA6" i="9"/>
  <c r="AA19" i="1"/>
  <c r="AA18" i="1" s="1"/>
  <c r="AD21" i="1"/>
  <c r="C15" i="9"/>
  <c r="C23" i="40"/>
  <c r="C28" i="40"/>
  <c r="D14" i="40" s="1"/>
  <c r="AD5" i="2" l="1"/>
  <c r="AD14" i="1"/>
  <c r="AC4" i="2"/>
  <c r="AD8" i="2"/>
  <c r="AD7" i="2"/>
  <c r="AD10" i="1"/>
  <c r="AD13" i="1"/>
  <c r="AD16" i="1"/>
  <c r="AD11" i="1"/>
  <c r="AD15" i="1"/>
  <c r="AD6" i="1"/>
  <c r="AD9" i="1"/>
  <c r="AD8" i="1"/>
  <c r="AD12" i="1"/>
  <c r="AD7" i="1"/>
  <c r="AC17" i="1"/>
  <c r="AC19" i="1" s="1"/>
  <c r="AC18" i="1" s="1"/>
  <c r="AE21" i="1"/>
  <c r="D16" i="40"/>
  <c r="C16" i="40"/>
  <c r="C30" i="40"/>
  <c r="D7" i="40"/>
  <c r="D28" i="40" s="1"/>
  <c r="AE5" i="2" l="1"/>
  <c r="AE14" i="1"/>
  <c r="AD4" i="2"/>
  <c r="AE8" i="2"/>
  <c r="AE7" i="2"/>
  <c r="AD17" i="1"/>
  <c r="AD19" i="1" s="1"/>
  <c r="AD18" i="1" s="1"/>
  <c r="AE11" i="1"/>
  <c r="AE15" i="1"/>
  <c r="AE10" i="1"/>
  <c r="AE13" i="1"/>
  <c r="AE16" i="1"/>
  <c r="AE6" i="1"/>
  <c r="AE9" i="1"/>
  <c r="AE8" i="1"/>
  <c r="AE12" i="1"/>
  <c r="AE7" i="1"/>
  <c r="AF21" i="1"/>
  <c r="E14" i="40"/>
  <c r="D30" i="40"/>
  <c r="E7" i="40"/>
  <c r="AF5" i="2" l="1"/>
  <c r="AF14" i="1"/>
  <c r="AE4" i="2"/>
  <c r="AF7" i="2"/>
  <c r="AF8" i="2"/>
  <c r="AE17" i="1"/>
  <c r="AE19" i="1" s="1"/>
  <c r="AE18" i="1" s="1"/>
  <c r="AF13" i="1"/>
  <c r="AF11" i="1"/>
  <c r="AF15" i="1"/>
  <c r="AF10" i="1"/>
  <c r="AF16" i="1"/>
  <c r="AF6" i="1"/>
  <c r="AF12" i="1"/>
  <c r="AF8" i="1"/>
  <c r="AF9" i="1"/>
  <c r="AF7" i="1"/>
  <c r="E16" i="40"/>
  <c r="AG21" i="1"/>
  <c r="E28" i="40"/>
  <c r="AG5" i="2" l="1"/>
  <c r="AG14" i="1"/>
  <c r="AF4" i="2"/>
  <c r="AG8" i="2"/>
  <c r="AG7" i="2"/>
  <c r="AF17" i="1"/>
  <c r="AF19" i="1" s="1"/>
  <c r="AF18" i="1" s="1"/>
  <c r="AG10" i="1"/>
  <c r="AG13" i="1"/>
  <c r="AG16" i="1"/>
  <c r="AG11" i="1"/>
  <c r="AG15" i="1"/>
  <c r="AG6" i="1"/>
  <c r="AG12" i="1"/>
  <c r="AG8" i="1"/>
  <c r="AG9" i="1"/>
  <c r="AG7" i="1"/>
  <c r="AH21" i="1"/>
  <c r="F7" i="40"/>
  <c r="F14" i="40"/>
  <c r="AH5" i="2" l="1"/>
  <c r="AH14" i="1"/>
  <c r="AG4" i="2"/>
  <c r="AH8" i="2"/>
  <c r="AH7" i="2"/>
  <c r="AG17" i="1"/>
  <c r="AG19" i="1" s="1"/>
  <c r="AG18" i="1" s="1"/>
  <c r="AH11" i="1"/>
  <c r="AH15" i="1"/>
  <c r="AH10" i="1"/>
  <c r="AH13" i="1"/>
  <c r="AH16" i="1"/>
  <c r="AH6" i="1"/>
  <c r="AH12" i="1"/>
  <c r="AH8" i="1"/>
  <c r="AH9" i="1"/>
  <c r="AH7" i="1"/>
  <c r="AI21" i="1"/>
  <c r="AI5" i="2" l="1"/>
  <c r="AI14" i="1"/>
  <c r="AH4" i="2"/>
  <c r="AI7" i="2"/>
  <c r="AI4" i="2" s="1"/>
  <c r="AI8" i="2"/>
  <c r="AH17" i="1"/>
  <c r="AH19" i="1" s="1"/>
  <c r="AH18" i="1" s="1"/>
  <c r="AI11" i="1"/>
  <c r="AI15" i="1"/>
  <c r="AI10" i="1"/>
  <c r="AI13" i="1"/>
  <c r="AI16" i="1"/>
  <c r="AI6" i="1"/>
  <c r="AI12" i="1"/>
  <c r="AI9" i="1"/>
  <c r="AI8" i="1"/>
  <c r="AI7" i="1"/>
  <c r="AJ21" i="1"/>
  <c r="AJ5" i="2" l="1"/>
  <c r="AJ14" i="1"/>
  <c r="AJ7" i="2"/>
  <c r="AJ8" i="2"/>
  <c r="AI17" i="1"/>
  <c r="AI19" i="1" s="1"/>
  <c r="AI18" i="1" s="1"/>
  <c r="AJ10" i="1"/>
  <c r="AJ11" i="1"/>
  <c r="AJ15" i="1"/>
  <c r="AJ13" i="1"/>
  <c r="AJ16" i="1"/>
  <c r="AJ6" i="1"/>
  <c r="AJ12" i="1"/>
  <c r="AJ8" i="1"/>
  <c r="AJ9" i="1"/>
  <c r="AJ7" i="1"/>
  <c r="AK21" i="1"/>
  <c r="AK5" i="2" l="1"/>
  <c r="AK14" i="1"/>
  <c r="AJ4" i="2"/>
  <c r="AK7" i="2"/>
  <c r="AK8" i="2"/>
  <c r="AJ17" i="1"/>
  <c r="AJ19" i="1" s="1"/>
  <c r="AJ18" i="1" s="1"/>
  <c r="AK10" i="1"/>
  <c r="AK13" i="1"/>
  <c r="AK16" i="1"/>
  <c r="AK11" i="1"/>
  <c r="AK15" i="1"/>
  <c r="AK6" i="1"/>
  <c r="AK8" i="1"/>
  <c r="AK12" i="1"/>
  <c r="AK9" i="1"/>
  <c r="AK7" i="1"/>
  <c r="AL21" i="1"/>
  <c r="AL5" i="2" l="1"/>
  <c r="E89" i="2" s="1"/>
  <c r="AM21" i="1"/>
  <c r="AL15" i="1"/>
  <c r="AL16" i="1"/>
  <c r="AL11" i="1"/>
  <c r="AL14" i="1"/>
  <c r="AL13" i="1"/>
  <c r="AL9" i="1"/>
  <c r="AL10" i="1"/>
  <c r="AL8" i="1"/>
  <c r="AL12" i="1"/>
  <c r="AL7" i="1"/>
  <c r="AL6" i="1"/>
  <c r="AK4" i="2"/>
  <c r="AL8" i="2"/>
  <c r="AL7" i="2"/>
  <c r="AK17" i="1"/>
  <c r="B6" i="2"/>
  <c r="AN21" i="1" l="1"/>
  <c r="AM5" i="2"/>
  <c r="AM16" i="1"/>
  <c r="AM15" i="1"/>
  <c r="AM7" i="2"/>
  <c r="AM8" i="2"/>
  <c r="AM13" i="1"/>
  <c r="AM12" i="1"/>
  <c r="AM7" i="1"/>
  <c r="AM10" i="1"/>
  <c r="AM8" i="1"/>
  <c r="AM14" i="1"/>
  <c r="AM11" i="1"/>
  <c r="AM9" i="1"/>
  <c r="AM6" i="1"/>
  <c r="AL17" i="1"/>
  <c r="AL19" i="1" s="1"/>
  <c r="AL18" i="1" s="1"/>
  <c r="E92" i="2"/>
  <c r="E91" i="2"/>
  <c r="B90" i="2"/>
  <c r="B126" i="2" s="1"/>
  <c r="AL4" i="2"/>
  <c r="AK19" i="1"/>
  <c r="E54" i="1"/>
  <c r="E53" i="1"/>
  <c r="E58" i="1"/>
  <c r="B58" i="1" s="1"/>
  <c r="E60" i="1"/>
  <c r="B60" i="1" s="1"/>
  <c r="E56" i="1"/>
  <c r="E55" i="1"/>
  <c r="E57" i="1"/>
  <c r="E52" i="1"/>
  <c r="E59" i="1"/>
  <c r="B59" i="1" s="1"/>
  <c r="E51" i="1"/>
  <c r="AM4" i="2" l="1"/>
  <c r="AM17" i="1"/>
  <c r="F57" i="1"/>
  <c r="F55" i="1"/>
  <c r="AO21" i="1"/>
  <c r="AN5" i="2"/>
  <c r="AN7" i="2"/>
  <c r="AN16" i="1"/>
  <c r="AN15" i="1"/>
  <c r="AN8" i="2"/>
  <c r="AN14" i="1"/>
  <c r="AN13" i="1"/>
  <c r="AN12" i="1"/>
  <c r="G56" i="1" s="1"/>
  <c r="AN9" i="1"/>
  <c r="AN8" i="1"/>
  <c r="AN7" i="1"/>
  <c r="AN11" i="1"/>
  <c r="AN10" i="1"/>
  <c r="AN6" i="1"/>
  <c r="F56" i="1"/>
  <c r="AK18" i="1"/>
  <c r="H118" i="42"/>
  <c r="G118" i="42"/>
  <c r="F118" i="42"/>
  <c r="E118" i="42"/>
  <c r="D118" i="42"/>
  <c r="B23" i="13"/>
  <c r="B15" i="12"/>
  <c r="A111" i="9"/>
  <c r="A110" i="9"/>
  <c r="A108" i="9"/>
  <c r="A107" i="9"/>
  <c r="A106" i="9"/>
  <c r="A105" i="9"/>
  <c r="A103" i="9"/>
  <c r="A102" i="9"/>
  <c r="A101" i="9"/>
  <c r="A100" i="9"/>
  <c r="A99" i="9"/>
  <c r="A98" i="9"/>
  <c r="A97" i="9"/>
  <c r="A96" i="9"/>
  <c r="A95" i="9"/>
  <c r="G94" i="9"/>
  <c r="F94" i="9"/>
  <c r="E94" i="9"/>
  <c r="D94" i="9"/>
  <c r="A94" i="9"/>
  <c r="A93" i="9"/>
  <c r="A92" i="9"/>
  <c r="A90" i="9"/>
  <c r="A89" i="9"/>
  <c r="A88" i="9"/>
  <c r="A87" i="9"/>
  <c r="G92" i="9"/>
  <c r="F92" i="9"/>
  <c r="E92" i="9"/>
  <c r="D92" i="9"/>
  <c r="C92" i="9"/>
  <c r="B86" i="9"/>
  <c r="B92" i="9" s="1"/>
  <c r="B105" i="9" s="1"/>
  <c r="A86" i="9"/>
  <c r="A84" i="9"/>
  <c r="A83" i="9"/>
  <c r="A82" i="9"/>
  <c r="A81" i="9"/>
  <c r="A80" i="9"/>
  <c r="A79" i="9"/>
  <c r="B32" i="9"/>
  <c r="AL22" i="9"/>
  <c r="AK22" i="9"/>
  <c r="AJ22" i="9"/>
  <c r="AI22" i="9"/>
  <c r="AH22" i="9"/>
  <c r="AF22" i="9"/>
  <c r="AE22" i="9"/>
  <c r="AD22" i="9"/>
  <c r="AC22" i="9"/>
  <c r="AB22" i="9"/>
  <c r="Z22" i="9"/>
  <c r="Y22" i="9"/>
  <c r="X22" i="9"/>
  <c r="W22" i="9"/>
  <c r="V22" i="9"/>
  <c r="U22" i="9"/>
  <c r="T22" i="9"/>
  <c r="S22" i="9"/>
  <c r="R22" i="9"/>
  <c r="P22" i="9"/>
  <c r="N22" i="9"/>
  <c r="M22" i="9"/>
  <c r="L22" i="9"/>
  <c r="K22" i="9"/>
  <c r="AG22" i="9"/>
  <c r="Q22" i="9"/>
  <c r="AL15" i="9"/>
  <c r="AL16" i="9" s="1"/>
  <c r="AK15" i="9"/>
  <c r="AK16" i="9" s="1"/>
  <c r="AJ15" i="9"/>
  <c r="AJ16" i="9" s="1"/>
  <c r="AI15" i="9"/>
  <c r="AI16" i="9" s="1"/>
  <c r="AH15" i="9"/>
  <c r="AH16" i="9" s="1"/>
  <c r="AG15" i="9"/>
  <c r="AG16" i="9" s="1"/>
  <c r="AF15" i="9"/>
  <c r="AF16" i="9" s="1"/>
  <c r="AE15" i="9"/>
  <c r="AE16" i="9" s="1"/>
  <c r="AD15" i="9"/>
  <c r="AD16" i="9" s="1"/>
  <c r="AC15" i="9"/>
  <c r="AC16" i="9" s="1"/>
  <c r="AB15" i="9"/>
  <c r="AB16" i="9" s="1"/>
  <c r="AA15" i="9"/>
  <c r="Z15" i="9"/>
  <c r="Z16" i="9" s="1"/>
  <c r="Y15" i="9"/>
  <c r="Y16" i="9" s="1"/>
  <c r="X15" i="9"/>
  <c r="X16" i="9" s="1"/>
  <c r="W15" i="9"/>
  <c r="W16" i="9" s="1"/>
  <c r="V15" i="9"/>
  <c r="V16" i="9" s="1"/>
  <c r="U15" i="9"/>
  <c r="U16" i="9" s="1"/>
  <c r="T15" i="9"/>
  <c r="T16" i="9" s="1"/>
  <c r="S15" i="9"/>
  <c r="S16" i="9" s="1"/>
  <c r="R15" i="9"/>
  <c r="R16" i="9" s="1"/>
  <c r="Q15" i="9"/>
  <c r="Q16" i="9" s="1"/>
  <c r="P15" i="9"/>
  <c r="P16" i="9" s="1"/>
  <c r="O15" i="9"/>
  <c r="N15" i="9"/>
  <c r="N16" i="9" s="1"/>
  <c r="M15" i="9"/>
  <c r="M16" i="9" s="1"/>
  <c r="L15" i="9"/>
  <c r="L16" i="9" s="1"/>
  <c r="K15" i="9"/>
  <c r="K16" i="9" s="1"/>
  <c r="J15" i="9"/>
  <c r="J16" i="9" s="1"/>
  <c r="I15" i="9"/>
  <c r="I16" i="9" s="1"/>
  <c r="H15" i="9"/>
  <c r="H16" i="9" s="1"/>
  <c r="G15" i="9"/>
  <c r="G16" i="9" s="1"/>
  <c r="F15" i="9"/>
  <c r="F16" i="9" s="1"/>
  <c r="B13" i="9"/>
  <c r="B19" i="9" s="1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B4" i="10"/>
  <c r="A38" i="6"/>
  <c r="A37" i="6"/>
  <c r="A35" i="6"/>
  <c r="A34" i="6"/>
  <c r="B4" i="6"/>
  <c r="B19" i="40"/>
  <c r="B26" i="40" s="1"/>
  <c r="A27" i="40"/>
  <c r="B12" i="40"/>
  <c r="D9" i="40"/>
  <c r="B9" i="40"/>
  <c r="E56" i="3"/>
  <c r="D56" i="3"/>
  <c r="C56" i="3"/>
  <c r="B56" i="3"/>
  <c r="A53" i="3"/>
  <c r="A52" i="3"/>
  <c r="E51" i="3"/>
  <c r="D51" i="3"/>
  <c r="C51" i="3"/>
  <c r="A51" i="3"/>
  <c r="E50" i="3"/>
  <c r="D50" i="3"/>
  <c r="C50" i="3"/>
  <c r="A50" i="3"/>
  <c r="A49" i="3"/>
  <c r="E47" i="3"/>
  <c r="D47" i="3"/>
  <c r="E46" i="3"/>
  <c r="D46" i="3"/>
  <c r="B19" i="3"/>
  <c r="A47" i="3"/>
  <c r="A46" i="3"/>
  <c r="A112" i="2"/>
  <c r="A148" i="2" s="1"/>
  <c r="A111" i="2"/>
  <c r="A147" i="2" s="1"/>
  <c r="A118" i="2"/>
  <c r="A117" i="2"/>
  <c r="A88" i="2"/>
  <c r="A124" i="2" s="1"/>
  <c r="A116" i="2" s="1"/>
  <c r="A63" i="1"/>
  <c r="A62" i="1"/>
  <c r="A61" i="1"/>
  <c r="C4" i="1"/>
  <c r="B40" i="14"/>
  <c r="A36" i="14"/>
  <c r="A35" i="14"/>
  <c r="A34" i="14"/>
  <c r="A32" i="14"/>
  <c r="A31" i="14"/>
  <c r="A28" i="14"/>
  <c r="A23" i="14"/>
  <c r="A20" i="14"/>
  <c r="A19" i="14"/>
  <c r="A18" i="14"/>
  <c r="B17" i="14"/>
  <c r="B22" i="14" s="1"/>
  <c r="A15" i="14"/>
  <c r="A14" i="14"/>
  <c r="A13" i="14"/>
  <c r="A12" i="14"/>
  <c r="B11" i="14"/>
  <c r="A9" i="14"/>
  <c r="A7" i="14"/>
  <c r="A6" i="14"/>
  <c r="A5" i="14"/>
  <c r="O16" i="9" l="1"/>
  <c r="D88" i="9"/>
  <c r="E88" i="9"/>
  <c r="AM27" i="2"/>
  <c r="B56" i="1"/>
  <c r="AP21" i="1"/>
  <c r="AO5" i="2"/>
  <c r="AO8" i="2"/>
  <c r="AO7" i="2"/>
  <c r="AO16" i="1"/>
  <c r="AO15" i="1"/>
  <c r="AO14" i="1"/>
  <c r="AO13" i="1"/>
  <c r="AO12" i="1"/>
  <c r="AO7" i="1"/>
  <c r="AO11" i="1"/>
  <c r="AO10" i="1"/>
  <c r="AO9" i="1"/>
  <c r="AO8" i="1"/>
  <c r="AO6" i="1"/>
  <c r="G55" i="1"/>
  <c r="B55" i="1" s="1"/>
  <c r="AN13" i="13"/>
  <c r="AR13" i="13"/>
  <c r="AV13" i="13"/>
  <c r="AZ13" i="13"/>
  <c r="BD13" i="13"/>
  <c r="BH13" i="13"/>
  <c r="AO13" i="13"/>
  <c r="AS13" i="13"/>
  <c r="AW13" i="13"/>
  <c r="BA13" i="13"/>
  <c r="BE13" i="13"/>
  <c r="BI13" i="13"/>
  <c r="AP13" i="13"/>
  <c r="AT13" i="13"/>
  <c r="AX13" i="13"/>
  <c r="BB13" i="13"/>
  <c r="BF13" i="13"/>
  <c r="BJ13" i="13"/>
  <c r="AM13" i="13"/>
  <c r="AQ13" i="13"/>
  <c r="AU13" i="13"/>
  <c r="AY13" i="13"/>
  <c r="BC13" i="13"/>
  <c r="BG13" i="13"/>
  <c r="AN17" i="1"/>
  <c r="AN4" i="2"/>
  <c r="G57" i="1"/>
  <c r="B57" i="1" s="1"/>
  <c r="AM5" i="10"/>
  <c r="AM6" i="9"/>
  <c r="AM19" i="1"/>
  <c r="AM18" i="1" s="1"/>
  <c r="C13" i="13"/>
  <c r="E9" i="40"/>
  <c r="E27" i="40"/>
  <c r="B50" i="3"/>
  <c r="D97" i="9"/>
  <c r="E97" i="9"/>
  <c r="F97" i="9"/>
  <c r="G97" i="9"/>
  <c r="D4" i="1"/>
  <c r="B5" i="3"/>
  <c r="O22" i="9"/>
  <c r="D95" i="9" s="1"/>
  <c r="AA22" i="9"/>
  <c r="E95" i="9" s="1"/>
  <c r="F95" i="9"/>
  <c r="G95" i="9"/>
  <c r="B51" i="3"/>
  <c r="F21" i="40"/>
  <c r="F89" i="9"/>
  <c r="C47" i="3"/>
  <c r="B47" i="3" s="1"/>
  <c r="E15" i="9"/>
  <c r="E16" i="9" s="1"/>
  <c r="C46" i="3"/>
  <c r="B46" i="3" s="1"/>
  <c r="D15" i="9"/>
  <c r="D89" i="9"/>
  <c r="AA16" i="9"/>
  <c r="E89" i="9" s="1"/>
  <c r="G89" i="9"/>
  <c r="C5" i="13"/>
  <c r="C5" i="9"/>
  <c r="C13" i="9" s="1"/>
  <c r="C19" i="9" s="1"/>
  <c r="C4" i="6"/>
  <c r="C4" i="3"/>
  <c r="C3" i="2"/>
  <c r="C4" i="10" s="1"/>
  <c r="C5" i="12" s="1"/>
  <c r="P13" i="13"/>
  <c r="AF13" i="13"/>
  <c r="H13" i="13"/>
  <c r="X13" i="13"/>
  <c r="D13" i="13"/>
  <c r="L13" i="13"/>
  <c r="T13" i="13"/>
  <c r="AB13" i="13"/>
  <c r="F13" i="13"/>
  <c r="J13" i="13"/>
  <c r="N13" i="13"/>
  <c r="R13" i="13"/>
  <c r="V13" i="13"/>
  <c r="Z13" i="13"/>
  <c r="AD13" i="13"/>
  <c r="AJ13" i="13"/>
  <c r="AK13" i="13"/>
  <c r="AI13" i="13"/>
  <c r="AG13" i="13"/>
  <c r="AL13" i="13"/>
  <c r="AH13" i="13"/>
  <c r="AE13" i="13"/>
  <c r="AC13" i="13"/>
  <c r="AA13" i="13"/>
  <c r="Y13" i="13"/>
  <c r="W13" i="13"/>
  <c r="U13" i="13"/>
  <c r="S13" i="13"/>
  <c r="Q13" i="13"/>
  <c r="O13" i="13"/>
  <c r="M13" i="13"/>
  <c r="K13" i="13"/>
  <c r="I13" i="13"/>
  <c r="G13" i="13"/>
  <c r="E13" i="13"/>
  <c r="D16" i="9" l="1"/>
  <c r="C88" i="9"/>
  <c r="B88" i="9" s="1"/>
  <c r="B21" i="40"/>
  <c r="AM6" i="10"/>
  <c r="AM10" i="10" s="1"/>
  <c r="AM16" i="12"/>
  <c r="AN27" i="2"/>
  <c r="AN6" i="10" s="1"/>
  <c r="AO4" i="2"/>
  <c r="AO27" i="2" s="1"/>
  <c r="AO6" i="10" s="1"/>
  <c r="AQ21" i="1"/>
  <c r="AP5" i="2"/>
  <c r="AP8" i="2"/>
  <c r="AP7" i="2"/>
  <c r="AP16" i="1"/>
  <c r="AP15" i="1"/>
  <c r="AP14" i="1"/>
  <c r="AP13" i="1"/>
  <c r="AP12" i="1"/>
  <c r="AP11" i="1"/>
  <c r="AP9" i="1"/>
  <c r="AP8" i="1"/>
  <c r="AP7" i="1"/>
  <c r="AP10" i="1"/>
  <c r="AP6" i="1"/>
  <c r="AN5" i="10"/>
  <c r="AN6" i="9"/>
  <c r="AN19" i="1"/>
  <c r="AN18" i="1" s="1"/>
  <c r="AO17" i="1"/>
  <c r="B73" i="40"/>
  <c r="F23" i="40"/>
  <c r="F28" i="40"/>
  <c r="G14" i="40" s="1"/>
  <c r="F16" i="40"/>
  <c r="E30" i="40"/>
  <c r="D3" i="2"/>
  <c r="D4" i="10" s="1"/>
  <c r="E4" i="1"/>
  <c r="D4" i="6"/>
  <c r="D5" i="9"/>
  <c r="D13" i="9" s="1"/>
  <c r="D19" i="9" s="1"/>
  <c r="D5" i="13"/>
  <c r="D4" i="3"/>
  <c r="D5" i="43" s="1"/>
  <c r="B15" i="9"/>
  <c r="C15" i="12"/>
  <c r="C11" i="12"/>
  <c r="C5" i="43"/>
  <c r="C5" i="40"/>
  <c r="C19" i="3"/>
  <c r="D24" i="40" l="1"/>
  <c r="E24" i="40"/>
  <c r="I24" i="40"/>
  <c r="M24" i="40"/>
  <c r="Q24" i="40"/>
  <c r="U24" i="40"/>
  <c r="Y24" i="40"/>
  <c r="AC24" i="40"/>
  <c r="AG24" i="40"/>
  <c r="AK24" i="40"/>
  <c r="AO24" i="40"/>
  <c r="AS24" i="40"/>
  <c r="AW24" i="40"/>
  <c r="BA24" i="40"/>
  <c r="BE24" i="40"/>
  <c r="BI24" i="40"/>
  <c r="F24" i="40"/>
  <c r="J24" i="40"/>
  <c r="N24" i="40"/>
  <c r="R24" i="40"/>
  <c r="V24" i="40"/>
  <c r="Z24" i="40"/>
  <c r="AD24" i="40"/>
  <c r="AH24" i="40"/>
  <c r="AL24" i="40"/>
  <c r="AP24" i="40"/>
  <c r="AT24" i="40"/>
  <c r="AX24" i="40"/>
  <c r="BB24" i="40"/>
  <c r="BF24" i="40"/>
  <c r="BJ24" i="40"/>
  <c r="G24" i="40"/>
  <c r="K24" i="40"/>
  <c r="O24" i="40"/>
  <c r="S24" i="40"/>
  <c r="W24" i="40"/>
  <c r="AA24" i="40"/>
  <c r="AE24" i="40"/>
  <c r="AI24" i="40"/>
  <c r="AM24" i="40"/>
  <c r="AQ24" i="40"/>
  <c r="AU24" i="40"/>
  <c r="AY24" i="40"/>
  <c r="BC24" i="40"/>
  <c r="BG24" i="40"/>
  <c r="H24" i="40"/>
  <c r="L24" i="40"/>
  <c r="P24" i="40"/>
  <c r="T24" i="40"/>
  <c r="X24" i="40"/>
  <c r="AB24" i="40"/>
  <c r="AF24" i="40"/>
  <c r="AJ24" i="40"/>
  <c r="AN24" i="40"/>
  <c r="AR24" i="40"/>
  <c r="AV24" i="40"/>
  <c r="AZ24" i="40"/>
  <c r="BD24" i="40"/>
  <c r="BH24" i="40"/>
  <c r="B23" i="40"/>
  <c r="AM17" i="12"/>
  <c r="AM8" i="9"/>
  <c r="AR21" i="1"/>
  <c r="AQ5" i="2"/>
  <c r="AQ16" i="1"/>
  <c r="AQ15" i="1"/>
  <c r="AQ8" i="2"/>
  <c r="AQ7" i="2"/>
  <c r="AQ13" i="1"/>
  <c r="AQ12" i="1"/>
  <c r="AQ9" i="1"/>
  <c r="AQ8" i="1"/>
  <c r="AQ7" i="1"/>
  <c r="AQ14" i="1"/>
  <c r="AQ10" i="1"/>
  <c r="AQ11" i="1"/>
  <c r="AQ6" i="1"/>
  <c r="AN8" i="9"/>
  <c r="AN17" i="12"/>
  <c r="AO6" i="9"/>
  <c r="AO19" i="1"/>
  <c r="AO18" i="1" s="1"/>
  <c r="AO5" i="10"/>
  <c r="AN16" i="12"/>
  <c r="AN10" i="10"/>
  <c r="AP4" i="2"/>
  <c r="AP27" i="2" s="1"/>
  <c r="AP6" i="10" s="1"/>
  <c r="AM7" i="12"/>
  <c r="AM18" i="12"/>
  <c r="AP17" i="1"/>
  <c r="AO17" i="12"/>
  <c r="AO8" i="9"/>
  <c r="G7" i="40"/>
  <c r="D5" i="12"/>
  <c r="D15" i="12" s="1"/>
  <c r="D9" i="6"/>
  <c r="C6" i="9"/>
  <c r="E5" i="13"/>
  <c r="E3" i="2"/>
  <c r="E4" i="10" s="1"/>
  <c r="E5" i="12" s="1"/>
  <c r="F4" i="1"/>
  <c r="E4" i="6"/>
  <c r="E4" i="3"/>
  <c r="E5" i="43" s="1"/>
  <c r="E5" i="9"/>
  <c r="E13" i="9" s="1"/>
  <c r="E19" i="9" s="1"/>
  <c r="D19" i="3"/>
  <c r="D5" i="40"/>
  <c r="C12" i="40"/>
  <c r="C19" i="40"/>
  <c r="C26" i="40" s="1"/>
  <c r="AV26" i="2" l="1"/>
  <c r="AV9" i="10"/>
  <c r="P26" i="2"/>
  <c r="P9" i="10"/>
  <c r="AM26" i="2"/>
  <c r="AM9" i="10"/>
  <c r="W26" i="2"/>
  <c r="W9" i="10"/>
  <c r="AX26" i="2"/>
  <c r="AX9" i="10"/>
  <c r="AH26" i="2"/>
  <c r="AH9" i="10"/>
  <c r="R26" i="2"/>
  <c r="R9" i="10"/>
  <c r="BI26" i="2"/>
  <c r="BI9" i="10"/>
  <c r="AS26" i="2"/>
  <c r="AS9" i="10"/>
  <c r="AC26" i="2"/>
  <c r="AC9" i="10"/>
  <c r="M26" i="2"/>
  <c r="M9" i="10"/>
  <c r="AF26" i="2"/>
  <c r="AF9" i="10"/>
  <c r="BC26" i="2"/>
  <c r="BC9" i="10"/>
  <c r="G26" i="2"/>
  <c r="G9" i="10"/>
  <c r="BH26" i="2"/>
  <c r="BH9" i="10"/>
  <c r="AR26" i="2"/>
  <c r="AR9" i="10"/>
  <c r="AB26" i="2"/>
  <c r="AB9" i="10"/>
  <c r="L26" i="2"/>
  <c r="L9" i="10"/>
  <c r="AY26" i="2"/>
  <c r="AY9" i="10"/>
  <c r="AI26" i="2"/>
  <c r="AI9" i="10"/>
  <c r="S26" i="2"/>
  <c r="S9" i="10"/>
  <c r="BJ26" i="2"/>
  <c r="BJ9" i="10"/>
  <c r="AT26" i="2"/>
  <c r="AT9" i="10"/>
  <c r="AD26" i="2"/>
  <c r="AD9" i="10"/>
  <c r="N26" i="2"/>
  <c r="N9" i="10"/>
  <c r="BE26" i="2"/>
  <c r="BE9" i="10"/>
  <c r="AO26" i="2"/>
  <c r="AO9" i="10"/>
  <c r="Y26" i="2"/>
  <c r="Y9" i="10"/>
  <c r="I26" i="2"/>
  <c r="I9" i="10"/>
  <c r="BD26" i="2"/>
  <c r="BD9" i="10"/>
  <c r="AN26" i="2"/>
  <c r="AN9" i="10"/>
  <c r="X26" i="2"/>
  <c r="X9" i="10"/>
  <c r="H26" i="2"/>
  <c r="H9" i="10"/>
  <c r="AU26" i="2"/>
  <c r="AU9" i="10"/>
  <c r="AE26" i="2"/>
  <c r="AE9" i="10"/>
  <c r="O26" i="2"/>
  <c r="O9" i="10"/>
  <c r="BF26" i="2"/>
  <c r="BF9" i="10"/>
  <c r="AP26" i="2"/>
  <c r="AP9" i="10"/>
  <c r="Z26" i="2"/>
  <c r="Z9" i="10"/>
  <c r="J26" i="2"/>
  <c r="J9" i="10"/>
  <c r="BA26" i="2"/>
  <c r="BA9" i="10"/>
  <c r="AK26" i="2"/>
  <c r="AK9" i="10"/>
  <c r="U26" i="2"/>
  <c r="U9" i="10"/>
  <c r="E26" i="2"/>
  <c r="E28" i="2" s="1"/>
  <c r="E9" i="10"/>
  <c r="AZ26" i="2"/>
  <c r="AZ9" i="10"/>
  <c r="AJ26" i="2"/>
  <c r="AJ9" i="10"/>
  <c r="T26" i="2"/>
  <c r="T9" i="10"/>
  <c r="BG26" i="2"/>
  <c r="BG9" i="10"/>
  <c r="AQ26" i="2"/>
  <c r="AQ9" i="10"/>
  <c r="AA26" i="2"/>
  <c r="AA9" i="10"/>
  <c r="K26" i="2"/>
  <c r="K9" i="10"/>
  <c r="BB26" i="2"/>
  <c r="BB9" i="10"/>
  <c r="AL26" i="2"/>
  <c r="AL9" i="10"/>
  <c r="V26" i="2"/>
  <c r="V9" i="10"/>
  <c r="F26" i="2"/>
  <c r="F9" i="10"/>
  <c r="AW26" i="2"/>
  <c r="AW9" i="10"/>
  <c r="AG26" i="2"/>
  <c r="AG9" i="10"/>
  <c r="Q26" i="2"/>
  <c r="Q9" i="10"/>
  <c r="D26" i="2"/>
  <c r="D9" i="10"/>
  <c r="B24" i="40"/>
  <c r="AS21" i="1"/>
  <c r="AR5" i="2"/>
  <c r="AR15" i="1"/>
  <c r="AR16" i="1"/>
  <c r="AR8" i="2"/>
  <c r="AR7" i="2"/>
  <c r="AR10" i="1"/>
  <c r="AR14" i="1"/>
  <c r="AR13" i="1"/>
  <c r="AR12" i="1"/>
  <c r="AR11" i="1"/>
  <c r="AR9" i="1"/>
  <c r="AR8" i="1"/>
  <c r="AR7" i="1"/>
  <c r="AR6" i="1"/>
  <c r="AP8" i="9"/>
  <c r="AP17" i="12"/>
  <c r="AO16" i="12"/>
  <c r="AO10" i="10"/>
  <c r="AQ17" i="1"/>
  <c r="AP6" i="9"/>
  <c r="AP19" i="1"/>
  <c r="AP18" i="1" s="1"/>
  <c r="AP5" i="10"/>
  <c r="AN7" i="12"/>
  <c r="AN18" i="12"/>
  <c r="AQ4" i="2"/>
  <c r="G28" i="40"/>
  <c r="H14" i="40" s="1"/>
  <c r="D11" i="12"/>
  <c r="F9" i="40"/>
  <c r="F27" i="40"/>
  <c r="D12" i="40"/>
  <c r="F5" i="13"/>
  <c r="F5" i="9"/>
  <c r="F13" i="9" s="1"/>
  <c r="F19" i="9" s="1"/>
  <c r="F3" i="2"/>
  <c r="F4" i="10" s="1"/>
  <c r="F5" i="12" s="1"/>
  <c r="G4" i="1"/>
  <c r="E19" i="3"/>
  <c r="E9" i="6"/>
  <c r="D19" i="40"/>
  <c r="D26" i="40" s="1"/>
  <c r="F4" i="3"/>
  <c r="F5" i="43" s="1"/>
  <c r="F4" i="6"/>
  <c r="E5" i="40"/>
  <c r="E15" i="12"/>
  <c r="E11" i="12"/>
  <c r="AQ27" i="2" l="1"/>
  <c r="AO7" i="12"/>
  <c r="AO18" i="12"/>
  <c r="AR17" i="1"/>
  <c r="AR4" i="2"/>
  <c r="AR27" i="2" s="1"/>
  <c r="AR6" i="10" s="1"/>
  <c r="AT21" i="1"/>
  <c r="AS5" i="2"/>
  <c r="AS7" i="2"/>
  <c r="AS4" i="2" s="1"/>
  <c r="AS27" i="2" s="1"/>
  <c r="AS6" i="10" s="1"/>
  <c r="AS8" i="2"/>
  <c r="AS16" i="1"/>
  <c r="AS15" i="1"/>
  <c r="AS13" i="1"/>
  <c r="AS12" i="1"/>
  <c r="AS9" i="1"/>
  <c r="AS8" i="1"/>
  <c r="AS7" i="1"/>
  <c r="AS14" i="1"/>
  <c r="AS11" i="1"/>
  <c r="AS10" i="1"/>
  <c r="AS6" i="1"/>
  <c r="AP16" i="12"/>
  <c r="AP10" i="10"/>
  <c r="AQ5" i="10"/>
  <c r="AQ6" i="9"/>
  <c r="AQ19" i="1"/>
  <c r="AQ18" i="1" s="1"/>
  <c r="H7" i="40"/>
  <c r="H28" i="40" s="1"/>
  <c r="G9" i="40"/>
  <c r="G16" i="40"/>
  <c r="F30" i="40"/>
  <c r="E12" i="40"/>
  <c r="E6" i="9"/>
  <c r="D6" i="9"/>
  <c r="C5" i="10"/>
  <c r="C12" i="12" s="1"/>
  <c r="G4" i="3"/>
  <c r="G5" i="43" s="1"/>
  <c r="H4" i="1"/>
  <c r="G4" i="6"/>
  <c r="G5" i="9"/>
  <c r="G13" i="9" s="1"/>
  <c r="G19" i="9" s="1"/>
  <c r="G3" i="2"/>
  <c r="G4" i="10" s="1"/>
  <c r="G5" i="12" s="1"/>
  <c r="G5" i="13"/>
  <c r="E19" i="40"/>
  <c r="E26" i="40" s="1"/>
  <c r="F19" i="3"/>
  <c r="F5" i="40"/>
  <c r="F15" i="12"/>
  <c r="F11" i="12"/>
  <c r="AQ6" i="10" l="1"/>
  <c r="AQ10" i="10" s="1"/>
  <c r="AS17" i="1"/>
  <c r="AS19" i="1" s="1"/>
  <c r="AS18" i="1" s="1"/>
  <c r="AQ16" i="12"/>
  <c r="AP7" i="12"/>
  <c r="AP18" i="12"/>
  <c r="AU21" i="1"/>
  <c r="AT5" i="2"/>
  <c r="AT8" i="2"/>
  <c r="AT7" i="2"/>
  <c r="AT15" i="1"/>
  <c r="AT16" i="1"/>
  <c r="AT10" i="1"/>
  <c r="AT13" i="1"/>
  <c r="AT12" i="1"/>
  <c r="AT11" i="1"/>
  <c r="AT9" i="1"/>
  <c r="AT8" i="1"/>
  <c r="AT7" i="1"/>
  <c r="AT14" i="1"/>
  <c r="AT6" i="1"/>
  <c r="AR8" i="9"/>
  <c r="AR17" i="12"/>
  <c r="AS8" i="9"/>
  <c r="AS17" i="12"/>
  <c r="AR5" i="10"/>
  <c r="AR6" i="9"/>
  <c r="AR19" i="1"/>
  <c r="AR18" i="1" s="1"/>
  <c r="I14" i="40"/>
  <c r="I7" i="40"/>
  <c r="G27" i="40"/>
  <c r="F12" i="40"/>
  <c r="D5" i="10"/>
  <c r="C16" i="12"/>
  <c r="H4" i="6"/>
  <c r="G19" i="3"/>
  <c r="G5" i="40"/>
  <c r="I4" i="1"/>
  <c r="H5" i="9"/>
  <c r="H13" i="9" s="1"/>
  <c r="H19" i="9" s="1"/>
  <c r="H3" i="2"/>
  <c r="H4" i="10" s="1"/>
  <c r="H5" i="12" s="1"/>
  <c r="H5" i="13"/>
  <c r="H4" i="3"/>
  <c r="H5" i="40" s="1"/>
  <c r="F19" i="40"/>
  <c r="F26" i="40" s="1"/>
  <c r="G15" i="12"/>
  <c r="G11" i="12"/>
  <c r="E5" i="10"/>
  <c r="AQ8" i="9" l="1"/>
  <c r="AQ17" i="12"/>
  <c r="AS5" i="10"/>
  <c r="AS10" i="10" s="1"/>
  <c r="AS6" i="9"/>
  <c r="AR16" i="12"/>
  <c r="AR10" i="10"/>
  <c r="AQ7" i="12"/>
  <c r="AQ18" i="12"/>
  <c r="AT4" i="2"/>
  <c r="AV21" i="1"/>
  <c r="AU5" i="2"/>
  <c r="AU8" i="2"/>
  <c r="AU16" i="1"/>
  <c r="AU15" i="1"/>
  <c r="AU7" i="2"/>
  <c r="AU11" i="1"/>
  <c r="AU14" i="1"/>
  <c r="AU13" i="1"/>
  <c r="AU12" i="1"/>
  <c r="AU9" i="1"/>
  <c r="AU8" i="1"/>
  <c r="AU7" i="1"/>
  <c r="AU10" i="1"/>
  <c r="AU6" i="1"/>
  <c r="AT17" i="1"/>
  <c r="I28" i="40"/>
  <c r="J14" i="40" s="1"/>
  <c r="H16" i="40"/>
  <c r="G30" i="40"/>
  <c r="G12" i="40"/>
  <c r="G6" i="9"/>
  <c r="D16" i="12"/>
  <c r="D12" i="12"/>
  <c r="F6" i="9"/>
  <c r="G19" i="40"/>
  <c r="G26" i="40" s="1"/>
  <c r="H19" i="3"/>
  <c r="H5" i="43"/>
  <c r="I4" i="3"/>
  <c r="I5" i="43" s="1"/>
  <c r="J4" i="1"/>
  <c r="J4" i="3" s="1"/>
  <c r="I4" i="6"/>
  <c r="I5" i="9"/>
  <c r="I13" i="9" s="1"/>
  <c r="I19" i="9" s="1"/>
  <c r="I3" i="2"/>
  <c r="I4" i="10" s="1"/>
  <c r="I5" i="12" s="1"/>
  <c r="I11" i="12" s="1"/>
  <c r="I5" i="13"/>
  <c r="H15" i="12"/>
  <c r="H11" i="12"/>
  <c r="H19" i="40"/>
  <c r="H26" i="40" s="1"/>
  <c r="H12" i="40"/>
  <c r="E12" i="12"/>
  <c r="E16" i="12"/>
  <c r="AS16" i="12" l="1"/>
  <c r="AW21" i="1"/>
  <c r="AV5" i="2"/>
  <c r="AV8" i="2"/>
  <c r="AV16" i="1"/>
  <c r="AV15" i="1"/>
  <c r="AV7" i="2"/>
  <c r="AV14" i="1"/>
  <c r="AV11" i="1"/>
  <c r="AV9" i="1"/>
  <c r="AV10" i="1"/>
  <c r="AV12" i="1"/>
  <c r="AV8" i="1"/>
  <c r="AV13" i="1"/>
  <c r="AV7" i="1"/>
  <c r="AV6" i="1"/>
  <c r="AS18" i="12"/>
  <c r="AS7" i="12"/>
  <c r="AT6" i="9"/>
  <c r="AT5" i="10"/>
  <c r="AT19" i="1"/>
  <c r="AT18" i="1" s="1"/>
  <c r="AT27" i="2"/>
  <c r="AU17" i="1"/>
  <c r="AR7" i="12"/>
  <c r="AR18" i="12"/>
  <c r="AU4" i="2"/>
  <c r="AU27" i="2" s="1"/>
  <c r="AU6" i="10" s="1"/>
  <c r="J7" i="40"/>
  <c r="J28" i="40" s="1"/>
  <c r="K14" i="40" s="1"/>
  <c r="H9" i="40"/>
  <c r="H27" i="40"/>
  <c r="H6" i="9"/>
  <c r="F5" i="10"/>
  <c r="F16" i="12" s="1"/>
  <c r="D27" i="2"/>
  <c r="I15" i="12"/>
  <c r="I19" i="3"/>
  <c r="I5" i="40"/>
  <c r="J4" i="6"/>
  <c r="K4" i="1"/>
  <c r="J5" i="9"/>
  <c r="J13" i="9" s="1"/>
  <c r="J19" i="9" s="1"/>
  <c r="J3" i="2"/>
  <c r="J4" i="10" s="1"/>
  <c r="J9" i="6" s="1"/>
  <c r="J5" i="13"/>
  <c r="J5" i="43"/>
  <c r="J5" i="40"/>
  <c r="J19" i="3"/>
  <c r="G5" i="10"/>
  <c r="AV4" i="2" l="1"/>
  <c r="AV27" i="2" s="1"/>
  <c r="AV6" i="10" s="1"/>
  <c r="AV17" i="12" s="1"/>
  <c r="AT6" i="10"/>
  <c r="AT8" i="9" s="1"/>
  <c r="AU8" i="9"/>
  <c r="AU17" i="12"/>
  <c r="AU6" i="9"/>
  <c r="AU5" i="10"/>
  <c r="AU19" i="1"/>
  <c r="AU18" i="1" s="1"/>
  <c r="AT16" i="12"/>
  <c r="AV17" i="1"/>
  <c r="AT17" i="12"/>
  <c r="AX21" i="1"/>
  <c r="AW5" i="2"/>
  <c r="AW8" i="2"/>
  <c r="AW16" i="1"/>
  <c r="AW15" i="1"/>
  <c r="AW7" i="2"/>
  <c r="AW14" i="1"/>
  <c r="AW10" i="1"/>
  <c r="AW13" i="1"/>
  <c r="AW12" i="1"/>
  <c r="AW9" i="1"/>
  <c r="AW8" i="1"/>
  <c r="AW7" i="1"/>
  <c r="AW11" i="1"/>
  <c r="AW6" i="1"/>
  <c r="K7" i="40"/>
  <c r="K28" i="40" s="1"/>
  <c r="L14" i="40" s="1"/>
  <c r="D6" i="10"/>
  <c r="D10" i="10" s="1"/>
  <c r="D5" i="6" s="1"/>
  <c r="D28" i="2"/>
  <c r="I16" i="40"/>
  <c r="H30" i="40"/>
  <c r="I19" i="40"/>
  <c r="I26" i="40" s="1"/>
  <c r="I6" i="9"/>
  <c r="F12" i="12"/>
  <c r="E6" i="10"/>
  <c r="J5" i="12"/>
  <c r="J15" i="12" s="1"/>
  <c r="I12" i="40"/>
  <c r="K3" i="2"/>
  <c r="K4" i="10" s="1"/>
  <c r="K9" i="6" s="1"/>
  <c r="K4" i="3"/>
  <c r="K19" i="3" s="1"/>
  <c r="K5" i="13"/>
  <c r="L4" i="1"/>
  <c r="K4" i="6"/>
  <c r="K5" i="9"/>
  <c r="K13" i="9" s="1"/>
  <c r="K19" i="9" s="1"/>
  <c r="G16" i="12"/>
  <c r="G12" i="12"/>
  <c r="J19" i="40"/>
  <c r="J26" i="40" s="1"/>
  <c r="J12" i="40"/>
  <c r="H5" i="10"/>
  <c r="AT10" i="10" l="1"/>
  <c r="AT7" i="12" s="1"/>
  <c r="AV8" i="9"/>
  <c r="AW4" i="2"/>
  <c r="AW27" i="2" s="1"/>
  <c r="AW6" i="10" s="1"/>
  <c r="AW17" i="12" s="1"/>
  <c r="AV5" i="10"/>
  <c r="AV6" i="9"/>
  <c r="AV19" i="1"/>
  <c r="AV18" i="1" s="1"/>
  <c r="AU16" i="12"/>
  <c r="AU10" i="10"/>
  <c r="AW17" i="1"/>
  <c r="AY21" i="1"/>
  <c r="AX5" i="2"/>
  <c r="F89" i="2" s="1"/>
  <c r="AX8" i="2"/>
  <c r="F92" i="2" s="1"/>
  <c r="AX7" i="2"/>
  <c r="AX16" i="1"/>
  <c r="AX15" i="1"/>
  <c r="AX9" i="1"/>
  <c r="F53" i="1" s="1"/>
  <c r="AX14" i="1"/>
  <c r="AX10" i="1"/>
  <c r="F54" i="1" s="1"/>
  <c r="AX13" i="1"/>
  <c r="AX12" i="1"/>
  <c r="AX11" i="1"/>
  <c r="AX8" i="1"/>
  <c r="AX7" i="1"/>
  <c r="F52" i="1" s="1"/>
  <c r="AX6" i="1"/>
  <c r="D6" i="6"/>
  <c r="D8" i="9"/>
  <c r="D17" i="12"/>
  <c r="L7" i="40"/>
  <c r="L28" i="40" s="1"/>
  <c r="I9" i="40"/>
  <c r="I27" i="40"/>
  <c r="F27" i="2"/>
  <c r="J6" i="9"/>
  <c r="E10" i="10"/>
  <c r="E8" i="9"/>
  <c r="E17" i="12"/>
  <c r="G27" i="2"/>
  <c r="G28" i="2" s="1"/>
  <c r="D18" i="12"/>
  <c r="D7" i="12"/>
  <c r="K5" i="12"/>
  <c r="K15" i="12" s="1"/>
  <c r="J11" i="12"/>
  <c r="K5" i="43"/>
  <c r="K5" i="40"/>
  <c r="M4" i="1"/>
  <c r="L5" i="9"/>
  <c r="L13" i="9" s="1"/>
  <c r="L19" i="9" s="1"/>
  <c r="L3" i="2"/>
  <c r="L4" i="10" s="1"/>
  <c r="L9" i="6" s="1"/>
  <c r="L5" i="13"/>
  <c r="L4" i="3"/>
  <c r="L5" i="40" s="1"/>
  <c r="L4" i="6"/>
  <c r="H16" i="12"/>
  <c r="H12" i="12"/>
  <c r="I5" i="10"/>
  <c r="AT18" i="12" l="1"/>
  <c r="AW8" i="9"/>
  <c r="AX4" i="2"/>
  <c r="F91" i="2"/>
  <c r="AZ21" i="1"/>
  <c r="AY5" i="2"/>
  <c r="AY7" i="2"/>
  <c r="AY16" i="1"/>
  <c r="AY15" i="1"/>
  <c r="AY8" i="2"/>
  <c r="AY11" i="1"/>
  <c r="AY10" i="1"/>
  <c r="AY14" i="1"/>
  <c r="AY13" i="1"/>
  <c r="AY12" i="1"/>
  <c r="AY9" i="1"/>
  <c r="AY8" i="1"/>
  <c r="AY7" i="1"/>
  <c r="AY6" i="1"/>
  <c r="AW5" i="10"/>
  <c r="AW19" i="1"/>
  <c r="AW18" i="1" s="1"/>
  <c r="AW6" i="9"/>
  <c r="AX17" i="1"/>
  <c r="F51" i="1"/>
  <c r="AU18" i="12"/>
  <c r="AU7" i="12"/>
  <c r="AV16" i="12"/>
  <c r="AV10" i="10"/>
  <c r="E6" i="6"/>
  <c r="E5" i="6"/>
  <c r="D7" i="10"/>
  <c r="D11" i="10" s="1"/>
  <c r="D10" i="6"/>
  <c r="F28" i="2"/>
  <c r="M7" i="40"/>
  <c r="J16" i="40"/>
  <c r="I30" i="40"/>
  <c r="I12" i="12" s="1"/>
  <c r="K12" i="40"/>
  <c r="F6" i="10"/>
  <c r="F17" i="12" s="1"/>
  <c r="K6" i="9"/>
  <c r="E18" i="12"/>
  <c r="E7" i="12"/>
  <c r="H27" i="2"/>
  <c r="H28" i="2" s="1"/>
  <c r="G6" i="10"/>
  <c r="K11" i="12"/>
  <c r="L5" i="12"/>
  <c r="L15" i="12" s="1"/>
  <c r="K19" i="40"/>
  <c r="K26" i="40" s="1"/>
  <c r="L5" i="43"/>
  <c r="M4" i="3"/>
  <c r="M5" i="43" s="1"/>
  <c r="N4" i="1"/>
  <c r="M4" i="6"/>
  <c r="M5" i="9"/>
  <c r="M13" i="9" s="1"/>
  <c r="M19" i="9" s="1"/>
  <c r="M3" i="2"/>
  <c r="M4" i="10" s="1"/>
  <c r="M5" i="12" s="1"/>
  <c r="M5" i="13"/>
  <c r="L19" i="3"/>
  <c r="J5" i="10"/>
  <c r="L19" i="40"/>
  <c r="L26" i="40" s="1"/>
  <c r="L12" i="40"/>
  <c r="I16" i="12"/>
  <c r="AY4" i="2" l="1"/>
  <c r="AX27" i="2"/>
  <c r="F88" i="2"/>
  <c r="AW16" i="12"/>
  <c r="AW10" i="10"/>
  <c r="AX6" i="9"/>
  <c r="F79" i="9" s="1"/>
  <c r="AX19" i="1"/>
  <c r="AX18" i="1" s="1"/>
  <c r="AX5" i="10"/>
  <c r="BA21" i="1"/>
  <c r="AZ5" i="2"/>
  <c r="AZ8" i="2"/>
  <c r="AZ16" i="1"/>
  <c r="AZ15" i="1"/>
  <c r="AZ7" i="2"/>
  <c r="AZ13" i="1"/>
  <c r="AZ12" i="1"/>
  <c r="AZ9" i="1"/>
  <c r="AZ8" i="1"/>
  <c r="AZ7" i="1"/>
  <c r="AZ11" i="1"/>
  <c r="AZ14" i="1"/>
  <c r="AZ10" i="1"/>
  <c r="AZ6" i="1"/>
  <c r="AV18" i="12"/>
  <c r="AV7" i="12"/>
  <c r="AY17" i="1"/>
  <c r="E7" i="10"/>
  <c r="E10" i="6"/>
  <c r="M14" i="40"/>
  <c r="J9" i="40"/>
  <c r="J27" i="40"/>
  <c r="F10" i="10"/>
  <c r="F8" i="9"/>
  <c r="L6" i="9"/>
  <c r="H6" i="10"/>
  <c r="G10" i="10"/>
  <c r="G17" i="12"/>
  <c r="G8" i="9"/>
  <c r="L11" i="12"/>
  <c r="M19" i="3"/>
  <c r="M5" i="40"/>
  <c r="N4" i="6"/>
  <c r="O4" i="1"/>
  <c r="N5" i="9"/>
  <c r="N13" i="9" s="1"/>
  <c r="N19" i="9" s="1"/>
  <c r="M9" i="6"/>
  <c r="N3" i="2"/>
  <c r="N4" i="10" s="1"/>
  <c r="N5" i="12" s="1"/>
  <c r="N5" i="13"/>
  <c r="N4" i="3"/>
  <c r="N19" i="3" s="1"/>
  <c r="J16" i="12"/>
  <c r="K5" i="10"/>
  <c r="M11" i="12"/>
  <c r="M15" i="12"/>
  <c r="AY27" i="2" l="1"/>
  <c r="AX6" i="10"/>
  <c r="AX10" i="10" s="1"/>
  <c r="F111" i="2"/>
  <c r="AZ17" i="1"/>
  <c r="AZ19" i="1" s="1"/>
  <c r="AZ18" i="1" s="1"/>
  <c r="BB21" i="1"/>
  <c r="BA5" i="2"/>
  <c r="BA8" i="2"/>
  <c r="BA7" i="2"/>
  <c r="BA16" i="1"/>
  <c r="BA15" i="1"/>
  <c r="BA11" i="1"/>
  <c r="BA10" i="1"/>
  <c r="BA14" i="1"/>
  <c r="BA13" i="1"/>
  <c r="BA12" i="1"/>
  <c r="BA9" i="1"/>
  <c r="BA8" i="1"/>
  <c r="BA7" i="1"/>
  <c r="BA6" i="1"/>
  <c r="AY6" i="9"/>
  <c r="AY19" i="1"/>
  <c r="AY18" i="1" s="1"/>
  <c r="AY5" i="10"/>
  <c r="AX16" i="12"/>
  <c r="AW7" i="12"/>
  <c r="AW18" i="12"/>
  <c r="AZ4" i="2"/>
  <c r="AZ27" i="2" s="1"/>
  <c r="AZ6" i="10" s="1"/>
  <c r="G6" i="6"/>
  <c r="G5" i="6"/>
  <c r="F6" i="6"/>
  <c r="F5" i="6"/>
  <c r="F18" i="12"/>
  <c r="M28" i="40"/>
  <c r="N14" i="40" s="1"/>
  <c r="C110" i="2" s="1"/>
  <c r="K16" i="40"/>
  <c r="J30" i="40"/>
  <c r="M19" i="40"/>
  <c r="M26" i="40" s="1"/>
  <c r="F7" i="12"/>
  <c r="M6" i="9"/>
  <c r="I27" i="2"/>
  <c r="H17" i="12"/>
  <c r="H8" i="9"/>
  <c r="H10" i="10"/>
  <c r="G7" i="12"/>
  <c r="G18" i="12"/>
  <c r="N5" i="43"/>
  <c r="M12" i="40"/>
  <c r="P4" i="1"/>
  <c r="N5" i="40"/>
  <c r="O4" i="6"/>
  <c r="O5" i="9"/>
  <c r="O13" i="9" s="1"/>
  <c r="O19" i="9" s="1"/>
  <c r="O3" i="2"/>
  <c r="O4" i="10" s="1"/>
  <c r="O5" i="13"/>
  <c r="O4" i="3"/>
  <c r="O19" i="3" s="1"/>
  <c r="K16" i="12"/>
  <c r="L5" i="10"/>
  <c r="N15" i="12"/>
  <c r="N11" i="12"/>
  <c r="AY6" i="10" l="1"/>
  <c r="AX8" i="9"/>
  <c r="F81" i="9" s="1"/>
  <c r="AX17" i="12"/>
  <c r="AZ6" i="9"/>
  <c r="AZ5" i="10"/>
  <c r="AZ16" i="12" s="1"/>
  <c r="BA17" i="1"/>
  <c r="AZ17" i="12"/>
  <c r="AZ8" i="9"/>
  <c r="AY16" i="12"/>
  <c r="BC21" i="1"/>
  <c r="BB5" i="2"/>
  <c r="BB8" i="2"/>
  <c r="BB7" i="2"/>
  <c r="BB16" i="1"/>
  <c r="BB15" i="1"/>
  <c r="BB13" i="1"/>
  <c r="BB12" i="1"/>
  <c r="BB11" i="1"/>
  <c r="BB9" i="1"/>
  <c r="BB8" i="1"/>
  <c r="BB7" i="1"/>
  <c r="BB14" i="1"/>
  <c r="BB10" i="1"/>
  <c r="BB6" i="1"/>
  <c r="AX7" i="12"/>
  <c r="AX18" i="12"/>
  <c r="BA4" i="2"/>
  <c r="F7" i="10"/>
  <c r="H6" i="6"/>
  <c r="H5" i="6"/>
  <c r="G7" i="10"/>
  <c r="H18" i="12"/>
  <c r="N7" i="40"/>
  <c r="N28" i="40" s="1"/>
  <c r="B74" i="40" s="1"/>
  <c r="B72" i="40"/>
  <c r="I6" i="10"/>
  <c r="I10" i="10" s="1"/>
  <c r="I28" i="2"/>
  <c r="J12" i="12"/>
  <c r="K9" i="40"/>
  <c r="K27" i="40"/>
  <c r="N19" i="40"/>
  <c r="N26" i="40" s="1"/>
  <c r="C88" i="2"/>
  <c r="P5" i="13"/>
  <c r="K27" i="2"/>
  <c r="J27" i="2"/>
  <c r="H7" i="12"/>
  <c r="P3" i="2"/>
  <c r="P4" i="10" s="1"/>
  <c r="P5" i="12" s="1"/>
  <c r="P4" i="3"/>
  <c r="P19" i="3" s="1"/>
  <c r="P4" i="6"/>
  <c r="O5" i="12"/>
  <c r="O11" i="12" s="1"/>
  <c r="N12" i="40"/>
  <c r="Q4" i="1"/>
  <c r="P5" i="9"/>
  <c r="P13" i="9" s="1"/>
  <c r="P19" i="9" s="1"/>
  <c r="O5" i="40"/>
  <c r="O5" i="43"/>
  <c r="L16" i="12"/>
  <c r="M5" i="10"/>
  <c r="AY8" i="9" l="1"/>
  <c r="AY17" i="12"/>
  <c r="BA27" i="2"/>
  <c r="AY10" i="10"/>
  <c r="AY7" i="12" s="1"/>
  <c r="BB17" i="1"/>
  <c r="BB6" i="9" s="1"/>
  <c r="AZ10" i="10"/>
  <c r="AZ7" i="12" s="1"/>
  <c r="BA19" i="1"/>
  <c r="BA18" i="1" s="1"/>
  <c r="BA5" i="10"/>
  <c r="BA6" i="9"/>
  <c r="BD21" i="1"/>
  <c r="BC5" i="2"/>
  <c r="BC16" i="1"/>
  <c r="BC15" i="1"/>
  <c r="BC8" i="2"/>
  <c r="BC7" i="2"/>
  <c r="BC9" i="1"/>
  <c r="BC8" i="1"/>
  <c r="BC11" i="1"/>
  <c r="BC10" i="1"/>
  <c r="BC14" i="1"/>
  <c r="BC13" i="1"/>
  <c r="BC12" i="1"/>
  <c r="BC7" i="1"/>
  <c r="BC6" i="1"/>
  <c r="BB4" i="2"/>
  <c r="BB27" i="2" s="1"/>
  <c r="BB6" i="10" s="1"/>
  <c r="H7" i="10"/>
  <c r="I6" i="6"/>
  <c r="I5" i="6"/>
  <c r="O7" i="40"/>
  <c r="C71" i="40" s="1"/>
  <c r="O14" i="40"/>
  <c r="I17" i="12"/>
  <c r="I8" i="9"/>
  <c r="J6" i="10"/>
  <c r="J8" i="9" s="1"/>
  <c r="J28" i="2"/>
  <c r="K6" i="10"/>
  <c r="K10" i="10" s="1"/>
  <c r="K7" i="12" s="1"/>
  <c r="K28" i="2"/>
  <c r="L16" i="40"/>
  <c r="K30" i="40"/>
  <c r="O19" i="40"/>
  <c r="O26" i="40" s="1"/>
  <c r="O6" i="9"/>
  <c r="D79" i="9" s="1"/>
  <c r="I7" i="12"/>
  <c r="I18" i="12"/>
  <c r="O12" i="40"/>
  <c r="P9" i="6"/>
  <c r="Q4" i="3"/>
  <c r="Q5" i="43" s="1"/>
  <c r="P5" i="40"/>
  <c r="P5" i="43"/>
  <c r="Q4" i="6"/>
  <c r="R4" i="1"/>
  <c r="Q5" i="9"/>
  <c r="Q13" i="9" s="1"/>
  <c r="Q19" i="9" s="1"/>
  <c r="O15" i="12"/>
  <c r="Q3" i="2"/>
  <c r="Q4" i="10" s="1"/>
  <c r="Q5" i="12" s="1"/>
  <c r="Q5" i="13"/>
  <c r="P15" i="12"/>
  <c r="P11" i="12"/>
  <c r="M16" i="12"/>
  <c r="I9" i="6"/>
  <c r="AY18" i="12" l="1"/>
  <c r="BA6" i="10"/>
  <c r="BC4" i="2"/>
  <c r="BC27" i="2" s="1"/>
  <c r="BC6" i="10" s="1"/>
  <c r="BC17" i="12" s="1"/>
  <c r="AZ18" i="12"/>
  <c r="BB5" i="10"/>
  <c r="BB16" i="12" s="1"/>
  <c r="BB19" i="1"/>
  <c r="BB18" i="1" s="1"/>
  <c r="BC17" i="1"/>
  <c r="BB17" i="12"/>
  <c r="BB8" i="9"/>
  <c r="BE21" i="1"/>
  <c r="BD5" i="2"/>
  <c r="BD7" i="2"/>
  <c r="BD16" i="1"/>
  <c r="BD15" i="1"/>
  <c r="BD8" i="2"/>
  <c r="BD14" i="1"/>
  <c r="BD11" i="1"/>
  <c r="BD10" i="1"/>
  <c r="BD13" i="1"/>
  <c r="BD12" i="1"/>
  <c r="BD9" i="1"/>
  <c r="BD8" i="1"/>
  <c r="BD7" i="1"/>
  <c r="BD6" i="1"/>
  <c r="BA16" i="12"/>
  <c r="BA10" i="10"/>
  <c r="K5" i="6"/>
  <c r="K6" i="6"/>
  <c r="I7" i="10"/>
  <c r="O28" i="40"/>
  <c r="N6" i="9"/>
  <c r="C79" i="9" s="1"/>
  <c r="J17" i="12"/>
  <c r="J10" i="10"/>
  <c r="K18" i="12"/>
  <c r="K17" i="12"/>
  <c r="K8" i="9"/>
  <c r="L9" i="40"/>
  <c r="L27" i="40"/>
  <c r="K12" i="12"/>
  <c r="P12" i="40"/>
  <c r="L27" i="2"/>
  <c r="L28" i="2" s="1"/>
  <c r="Q19" i="3"/>
  <c r="P19" i="40"/>
  <c r="P26" i="40" s="1"/>
  <c r="Q5" i="40"/>
  <c r="R4" i="6"/>
  <c r="R5" i="9"/>
  <c r="R13" i="9" s="1"/>
  <c r="R19" i="9" s="1"/>
  <c r="S4" i="1"/>
  <c r="R4" i="3"/>
  <c r="R5" i="43" s="1"/>
  <c r="R3" i="2"/>
  <c r="R4" i="10" s="1"/>
  <c r="R5" i="12" s="1"/>
  <c r="R5" i="13"/>
  <c r="Q9" i="6"/>
  <c r="N5" i="10"/>
  <c r="C61" i="1"/>
  <c r="Q11" i="12"/>
  <c r="Q15" i="12"/>
  <c r="O5" i="10"/>
  <c r="I10" i="6"/>
  <c r="BC8" i="9" l="1"/>
  <c r="BA17" i="12"/>
  <c r="BA8" i="9"/>
  <c r="BB10" i="10"/>
  <c r="BB18" i="12" s="1"/>
  <c r="BA18" i="12"/>
  <c r="BA7" i="12"/>
  <c r="BF21" i="1"/>
  <c r="BE5" i="2"/>
  <c r="BE8" i="2"/>
  <c r="BE7" i="2"/>
  <c r="BE16" i="1"/>
  <c r="BE15" i="1"/>
  <c r="BE14" i="1"/>
  <c r="BE8" i="1"/>
  <c r="BE11" i="1"/>
  <c r="BE10" i="1"/>
  <c r="BE9" i="1"/>
  <c r="BE7" i="1"/>
  <c r="BE13" i="1"/>
  <c r="BE12" i="1"/>
  <c r="BE6" i="1"/>
  <c r="BD17" i="1"/>
  <c r="BD4" i="2"/>
  <c r="BC6" i="9"/>
  <c r="BC5" i="10"/>
  <c r="BC19" i="1"/>
  <c r="BC18" i="1" s="1"/>
  <c r="J6" i="6"/>
  <c r="J5" i="6"/>
  <c r="K10" i="6"/>
  <c r="J7" i="12"/>
  <c r="P7" i="40"/>
  <c r="P14" i="40"/>
  <c r="J18" i="12"/>
  <c r="M16" i="40"/>
  <c r="K7" i="10"/>
  <c r="L30" i="40"/>
  <c r="Q12" i="40"/>
  <c r="N27" i="2"/>
  <c r="C62" i="1"/>
  <c r="L6" i="10"/>
  <c r="L8" i="9" s="1"/>
  <c r="M27" i="2"/>
  <c r="M28" i="2" s="1"/>
  <c r="Q19" i="40"/>
  <c r="Q26" i="40" s="1"/>
  <c r="S3" i="2"/>
  <c r="S4" i="10" s="1"/>
  <c r="S5" i="13"/>
  <c r="S4" i="3"/>
  <c r="S5" i="43" s="1"/>
  <c r="R19" i="3"/>
  <c r="T4" i="1"/>
  <c r="S4" i="6"/>
  <c r="R5" i="40"/>
  <c r="S5" i="9"/>
  <c r="S13" i="9" s="1"/>
  <c r="S19" i="9" s="1"/>
  <c r="N16" i="12"/>
  <c r="C48" i="10"/>
  <c r="O16" i="12"/>
  <c r="R15" i="12"/>
  <c r="R11" i="12"/>
  <c r="C111" i="2" l="1"/>
  <c r="BB7" i="12"/>
  <c r="BD27" i="2"/>
  <c r="BE4" i="2"/>
  <c r="BE27" i="2" s="1"/>
  <c r="BE6" i="10" s="1"/>
  <c r="BE17" i="12" s="1"/>
  <c r="BC16" i="12"/>
  <c r="BC10" i="10"/>
  <c r="BG21" i="1"/>
  <c r="BF5" i="2"/>
  <c r="BF8" i="2"/>
  <c r="BF7" i="2"/>
  <c r="BF16" i="1"/>
  <c r="BF15" i="1"/>
  <c r="BF14" i="1"/>
  <c r="BF13" i="1"/>
  <c r="BF12" i="1"/>
  <c r="BF11" i="1"/>
  <c r="BF9" i="1"/>
  <c r="BF8" i="1"/>
  <c r="BF7" i="1"/>
  <c r="BF10" i="1"/>
  <c r="BF6" i="1"/>
  <c r="BD6" i="9"/>
  <c r="BD19" i="1"/>
  <c r="BD18" i="1" s="1"/>
  <c r="BD5" i="10"/>
  <c r="BE17" i="1"/>
  <c r="J7" i="10"/>
  <c r="J10" i="6"/>
  <c r="N28" i="2"/>
  <c r="P28" i="40"/>
  <c r="L12" i="12"/>
  <c r="M9" i="40"/>
  <c r="M27" i="40"/>
  <c r="R12" i="40"/>
  <c r="C63" i="1"/>
  <c r="P5" i="10"/>
  <c r="P16" i="12" s="1"/>
  <c r="L17" i="12"/>
  <c r="L10" i="10"/>
  <c r="N6" i="10"/>
  <c r="M6" i="10"/>
  <c r="S5" i="12"/>
  <c r="S11" i="12" s="1"/>
  <c r="S5" i="40"/>
  <c r="R19" i="40"/>
  <c r="R26" i="40" s="1"/>
  <c r="U4" i="1"/>
  <c r="T4" i="6"/>
  <c r="S19" i="3"/>
  <c r="T5" i="9"/>
  <c r="T13" i="9" s="1"/>
  <c r="T19" i="9" s="1"/>
  <c r="T4" i="3"/>
  <c r="T5" i="40" s="1"/>
  <c r="T3" i="2"/>
  <c r="T4" i="10" s="1"/>
  <c r="T5" i="12" s="1"/>
  <c r="T5" i="13"/>
  <c r="Q5" i="10"/>
  <c r="BF4" i="2" l="1"/>
  <c r="BF27" i="2" s="1"/>
  <c r="BF6" i="10" s="1"/>
  <c r="BF17" i="12" s="1"/>
  <c r="BE8" i="9"/>
  <c r="BD6" i="10"/>
  <c r="BD10" i="10" s="1"/>
  <c r="BF17" i="1"/>
  <c r="BD16" i="12"/>
  <c r="BC7" i="12"/>
  <c r="BC18" i="12"/>
  <c r="BE19" i="1"/>
  <c r="BE18" i="1" s="1"/>
  <c r="BE5" i="10"/>
  <c r="BE6" i="9"/>
  <c r="BH21" i="1"/>
  <c r="BG5" i="2"/>
  <c r="BG16" i="1"/>
  <c r="BG15" i="1"/>
  <c r="BG8" i="2"/>
  <c r="BG7" i="2"/>
  <c r="BG4" i="2" s="1"/>
  <c r="BG27" i="2" s="1"/>
  <c r="BG6" i="10" s="1"/>
  <c r="BG13" i="1"/>
  <c r="BG12" i="1"/>
  <c r="BG9" i="1"/>
  <c r="BG8" i="1"/>
  <c r="BG7" i="1"/>
  <c r="BG14" i="1"/>
  <c r="BG11" i="1"/>
  <c r="BG10" i="1"/>
  <c r="BG6" i="1"/>
  <c r="L6" i="6"/>
  <c r="L5" i="6"/>
  <c r="L7" i="12"/>
  <c r="Q14" i="40"/>
  <c r="Q7" i="40"/>
  <c r="N16" i="40"/>
  <c r="M30" i="40"/>
  <c r="S12" i="40"/>
  <c r="L18" i="12"/>
  <c r="M10" i="10"/>
  <c r="M5" i="6" s="1"/>
  <c r="M8" i="9"/>
  <c r="M17" i="12"/>
  <c r="O27" i="2"/>
  <c r="N8" i="9"/>
  <c r="N10" i="10"/>
  <c r="N17" i="12"/>
  <c r="S15" i="12"/>
  <c r="S19" i="40"/>
  <c r="S26" i="40" s="1"/>
  <c r="V4" i="1"/>
  <c r="U4" i="6"/>
  <c r="T5" i="43"/>
  <c r="U5" i="9"/>
  <c r="U13" i="9" s="1"/>
  <c r="U19" i="9" s="1"/>
  <c r="U3" i="2"/>
  <c r="U4" i="10" s="1"/>
  <c r="U5" i="12" s="1"/>
  <c r="U11" i="12" s="1"/>
  <c r="U5" i="13"/>
  <c r="U4" i="3"/>
  <c r="U5" i="43" s="1"/>
  <c r="T19" i="3"/>
  <c r="Q16" i="12"/>
  <c r="T19" i="40"/>
  <c r="T26" i="40" s="1"/>
  <c r="T12" i="40"/>
  <c r="T15" i="12"/>
  <c r="T11" i="12"/>
  <c r="BF8" i="9" l="1"/>
  <c r="BD17" i="12"/>
  <c r="BD8" i="9"/>
  <c r="BG17" i="12"/>
  <c r="BG8" i="9"/>
  <c r="BI21" i="1"/>
  <c r="BH5" i="2"/>
  <c r="BH7" i="2"/>
  <c r="BH16" i="1"/>
  <c r="BH15" i="1"/>
  <c r="BH8" i="2"/>
  <c r="BH11" i="1"/>
  <c r="BH10" i="1"/>
  <c r="BH14" i="1"/>
  <c r="BH13" i="1"/>
  <c r="BH12" i="1"/>
  <c r="BH9" i="1"/>
  <c r="BH8" i="1"/>
  <c r="BH7" i="1"/>
  <c r="BH6" i="1"/>
  <c r="BG17" i="1"/>
  <c r="BE16" i="12"/>
  <c r="BE10" i="10"/>
  <c r="BD7" i="12"/>
  <c r="BD18" i="12"/>
  <c r="BF19" i="1"/>
  <c r="BF18" i="1" s="1"/>
  <c r="BF5" i="10"/>
  <c r="BF6" i="9"/>
  <c r="L7" i="10"/>
  <c r="M6" i="6"/>
  <c r="M7" i="10" s="1"/>
  <c r="O28" i="2"/>
  <c r="Q28" i="40"/>
  <c r="L10" i="6"/>
  <c r="N9" i="40"/>
  <c r="N27" i="40"/>
  <c r="M12" i="12"/>
  <c r="R5" i="10"/>
  <c r="O6" i="10"/>
  <c r="M18" i="12"/>
  <c r="M7" i="12"/>
  <c r="Q27" i="2"/>
  <c r="Q28" i="2" s="1"/>
  <c r="N7" i="12"/>
  <c r="N18" i="12"/>
  <c r="V4" i="6"/>
  <c r="W4" i="1"/>
  <c r="V5" i="9"/>
  <c r="V13" i="9" s="1"/>
  <c r="V19" i="9" s="1"/>
  <c r="V3" i="2"/>
  <c r="V4" i="10" s="1"/>
  <c r="V9" i="6" s="1"/>
  <c r="V5" i="13"/>
  <c r="V4" i="3"/>
  <c r="V5" i="40" s="1"/>
  <c r="U15" i="12"/>
  <c r="U19" i="3"/>
  <c r="U5" i="40"/>
  <c r="S5" i="10"/>
  <c r="BH4" i="2" l="1"/>
  <c r="BH27" i="2" s="1"/>
  <c r="BH6" i="10" s="1"/>
  <c r="BH8" i="9" s="1"/>
  <c r="BH17" i="1"/>
  <c r="BH6" i="9" s="1"/>
  <c r="BF16" i="12"/>
  <c r="BF10" i="10"/>
  <c r="BE7" i="12"/>
  <c r="BE18" i="12"/>
  <c r="BJ21" i="1"/>
  <c r="BI5" i="2"/>
  <c r="BI7" i="2"/>
  <c r="BI8" i="2"/>
  <c r="BI16" i="1"/>
  <c r="BI15" i="1"/>
  <c r="BI13" i="1"/>
  <c r="BI12" i="1"/>
  <c r="BI9" i="1"/>
  <c r="BI8" i="1"/>
  <c r="BI7" i="1"/>
  <c r="BI14" i="1"/>
  <c r="BI11" i="1"/>
  <c r="BI10" i="1"/>
  <c r="BI6" i="1"/>
  <c r="BG6" i="9"/>
  <c r="BG5" i="10"/>
  <c r="BG19" i="1"/>
  <c r="BG18" i="1" s="1"/>
  <c r="BH17" i="12"/>
  <c r="N6" i="6"/>
  <c r="N5" i="6"/>
  <c r="M10" i="6"/>
  <c r="C52" i="10"/>
  <c r="R14" i="40"/>
  <c r="R7" i="40"/>
  <c r="O16" i="40"/>
  <c r="N30" i="40"/>
  <c r="U12" i="40"/>
  <c r="P27" i="2"/>
  <c r="R16" i="12"/>
  <c r="O10" i="10"/>
  <c r="O17" i="12"/>
  <c r="O8" i="9"/>
  <c r="Q6" i="10"/>
  <c r="S27" i="2"/>
  <c r="U19" i="40"/>
  <c r="U26" i="40" s="1"/>
  <c r="W4" i="3"/>
  <c r="W5" i="40" s="1"/>
  <c r="V5" i="12"/>
  <c r="V15" i="12" s="1"/>
  <c r="V19" i="3"/>
  <c r="V5" i="43"/>
  <c r="W4" i="6"/>
  <c r="X4" i="1"/>
  <c r="W5" i="9"/>
  <c r="W13" i="9" s="1"/>
  <c r="W19" i="9" s="1"/>
  <c r="W3" i="2"/>
  <c r="W4" i="10" s="1"/>
  <c r="W5" i="12" s="1"/>
  <c r="W5" i="13"/>
  <c r="V19" i="40"/>
  <c r="V26" i="40" s="1"/>
  <c r="V12" i="40"/>
  <c r="S16" i="12"/>
  <c r="BI4" i="2" l="1"/>
  <c r="BI27" i="2" s="1"/>
  <c r="BI6" i="10" s="1"/>
  <c r="BI8" i="9" s="1"/>
  <c r="BH5" i="10"/>
  <c r="BH10" i="10" s="1"/>
  <c r="BH19" i="1"/>
  <c r="BH18" i="1" s="1"/>
  <c r="BI17" i="1"/>
  <c r="BI19" i="1" s="1"/>
  <c r="BI18" i="1" s="1"/>
  <c r="BF18" i="12"/>
  <c r="BF7" i="12"/>
  <c r="BG16" i="12"/>
  <c r="BG10" i="10"/>
  <c r="BJ5" i="2"/>
  <c r="BJ8" i="2"/>
  <c r="BJ7" i="2"/>
  <c r="G91" i="2" s="1"/>
  <c r="B91" i="2" s="1"/>
  <c r="B127" i="2" s="1"/>
  <c r="BJ15" i="1"/>
  <c r="B15" i="1" s="1"/>
  <c r="BJ16" i="1"/>
  <c r="B16" i="1" s="1"/>
  <c r="BJ10" i="1"/>
  <c r="BJ14" i="1"/>
  <c r="B14" i="1" s="1"/>
  <c r="BJ13" i="1"/>
  <c r="B13" i="1" s="1"/>
  <c r="BJ12" i="1"/>
  <c r="B12" i="1" s="1"/>
  <c r="BJ11" i="1"/>
  <c r="B11" i="1" s="1"/>
  <c r="BJ9" i="1"/>
  <c r="BJ8" i="1"/>
  <c r="B8" i="1" s="1"/>
  <c r="BJ7" i="1"/>
  <c r="BJ6" i="1"/>
  <c r="N7" i="10"/>
  <c r="P28" i="2"/>
  <c r="R28" i="40"/>
  <c r="S14" i="40" s="1"/>
  <c r="O9" i="40"/>
  <c r="O27" i="40"/>
  <c r="N12" i="12"/>
  <c r="P6" i="10"/>
  <c r="W19" i="3"/>
  <c r="T5" i="10"/>
  <c r="T16" i="12" s="1"/>
  <c r="W5" i="43"/>
  <c r="X4" i="6"/>
  <c r="Q10" i="10"/>
  <c r="Q8" i="9"/>
  <c r="Q17" i="12"/>
  <c r="S6" i="10"/>
  <c r="S10" i="10" s="1"/>
  <c r="S18" i="12" s="1"/>
  <c r="O7" i="12"/>
  <c r="O18" i="12"/>
  <c r="V11" i="12"/>
  <c r="W9" i="6"/>
  <c r="X4" i="3"/>
  <c r="X19" i="3" s="1"/>
  <c r="Y4" i="1"/>
  <c r="X5" i="9"/>
  <c r="X13" i="9" s="1"/>
  <c r="X19" i="9" s="1"/>
  <c r="X3" i="2"/>
  <c r="X4" i="10" s="1"/>
  <c r="X5" i="12" s="1"/>
  <c r="X5" i="13"/>
  <c r="W11" i="12"/>
  <c r="W15" i="12"/>
  <c r="U5" i="10"/>
  <c r="W12" i="40"/>
  <c r="W19" i="40"/>
  <c r="W26" i="40" s="1"/>
  <c r="BI17" i="12" l="1"/>
  <c r="B8" i="2"/>
  <c r="G92" i="2"/>
  <c r="B92" i="2" s="1"/>
  <c r="B128" i="2" s="1"/>
  <c r="B5" i="2"/>
  <c r="G89" i="2"/>
  <c r="B89" i="2" s="1"/>
  <c r="B125" i="2" s="1"/>
  <c r="BH16" i="12"/>
  <c r="BI5" i="10"/>
  <c r="BI16" i="12" s="1"/>
  <c r="BI6" i="9"/>
  <c r="B7" i="1"/>
  <c r="G52" i="1"/>
  <c r="B52" i="1" s="1"/>
  <c r="BG7" i="12"/>
  <c r="BG18" i="12"/>
  <c r="B9" i="1"/>
  <c r="G53" i="1"/>
  <c r="B53" i="1" s="1"/>
  <c r="BJ4" i="2"/>
  <c r="G88" i="2" s="1"/>
  <c r="B7" i="2"/>
  <c r="BJ17" i="1"/>
  <c r="B6" i="1"/>
  <c r="G51" i="1"/>
  <c r="B51" i="1" s="1"/>
  <c r="B10" i="1"/>
  <c r="G54" i="1"/>
  <c r="B54" i="1" s="1"/>
  <c r="BH7" i="12"/>
  <c r="BH18" i="12"/>
  <c r="O6" i="6"/>
  <c r="O5" i="6"/>
  <c r="S28" i="2"/>
  <c r="S7" i="40"/>
  <c r="S28" i="40" s="1"/>
  <c r="P16" i="40"/>
  <c r="O30" i="40"/>
  <c r="P10" i="10"/>
  <c r="P8" i="9"/>
  <c r="P17" i="12"/>
  <c r="R27" i="2"/>
  <c r="S8" i="9"/>
  <c r="S7" i="12"/>
  <c r="S17" i="12"/>
  <c r="Q7" i="12"/>
  <c r="Q18" i="12"/>
  <c r="Y4" i="3"/>
  <c r="Y5" i="40" s="1"/>
  <c r="X5" i="40"/>
  <c r="Y5" i="9"/>
  <c r="Y13" i="9" s="1"/>
  <c r="Y19" i="9" s="1"/>
  <c r="X5" i="43"/>
  <c r="Z4" i="1"/>
  <c r="Z5" i="9" s="1"/>
  <c r="Z13" i="9" s="1"/>
  <c r="Z19" i="9" s="1"/>
  <c r="Y4" i="6"/>
  <c r="Y3" i="2"/>
  <c r="Y4" i="10" s="1"/>
  <c r="Y9" i="6" s="1"/>
  <c r="Y5" i="13"/>
  <c r="X9" i="6"/>
  <c r="U16" i="12"/>
  <c r="X15" i="12"/>
  <c r="X11" i="12"/>
  <c r="BI10" i="10" l="1"/>
  <c r="BI7" i="12" s="1"/>
  <c r="BJ5" i="10"/>
  <c r="BJ6" i="9"/>
  <c r="G79" i="9" s="1"/>
  <c r="BJ19" i="1"/>
  <c r="BJ18" i="1" s="1"/>
  <c r="B17" i="1"/>
  <c r="BJ27" i="2"/>
  <c r="B4" i="2"/>
  <c r="O7" i="10"/>
  <c r="R28" i="2"/>
  <c r="T14" i="40"/>
  <c r="T7" i="40"/>
  <c r="P5" i="6"/>
  <c r="O12" i="12"/>
  <c r="P9" i="40"/>
  <c r="P27" i="40"/>
  <c r="X12" i="40"/>
  <c r="V5" i="10"/>
  <c r="P18" i="12"/>
  <c r="P7" i="12"/>
  <c r="AA4" i="1"/>
  <c r="AA5" i="9" s="1"/>
  <c r="AA13" i="9" s="1"/>
  <c r="AA19" i="9" s="1"/>
  <c r="Z4" i="6"/>
  <c r="R6" i="10"/>
  <c r="U27" i="2"/>
  <c r="Y5" i="43"/>
  <c r="Z3" i="2"/>
  <c r="Z4" i="10" s="1"/>
  <c r="Z5" i="12" s="1"/>
  <c r="Z5" i="13"/>
  <c r="Z4" i="3"/>
  <c r="Z5" i="43" s="1"/>
  <c r="X19" i="40"/>
  <c r="X26" i="40" s="1"/>
  <c r="Y19" i="3"/>
  <c r="Y5" i="12"/>
  <c r="Y11" i="12" s="1"/>
  <c r="Y19" i="40"/>
  <c r="Y26" i="40" s="1"/>
  <c r="Y12" i="40"/>
  <c r="BJ6" i="10" l="1"/>
  <c r="BJ17" i="12" s="1"/>
  <c r="G111" i="2"/>
  <c r="BI18" i="12"/>
  <c r="BJ16" i="12"/>
  <c r="P6" i="6"/>
  <c r="T28" i="40"/>
  <c r="Q16" i="40"/>
  <c r="P30" i="40"/>
  <c r="AA3" i="2"/>
  <c r="AA4" i="10" s="1"/>
  <c r="AA5" i="12" s="1"/>
  <c r="AA5" i="13"/>
  <c r="V16" i="12"/>
  <c r="AA4" i="3"/>
  <c r="AA5" i="43" s="1"/>
  <c r="AB4" i="1"/>
  <c r="AA4" i="6"/>
  <c r="T27" i="2"/>
  <c r="R10" i="10"/>
  <c r="R17" i="12"/>
  <c r="R8" i="9"/>
  <c r="W5" i="10"/>
  <c r="W16" i="12" s="1"/>
  <c r="U6" i="10"/>
  <c r="Z19" i="3"/>
  <c r="Z5" i="40"/>
  <c r="Y15" i="12"/>
  <c r="Z15" i="12"/>
  <c r="Z11" i="12"/>
  <c r="BJ8" i="9" l="1"/>
  <c r="G81" i="9" s="1"/>
  <c r="BJ10" i="10"/>
  <c r="BJ18" i="12" s="1"/>
  <c r="P10" i="6"/>
  <c r="P7" i="10"/>
  <c r="T28" i="2"/>
  <c r="U7" i="40"/>
  <c r="U14" i="40"/>
  <c r="Q9" i="40"/>
  <c r="Q27" i="40"/>
  <c r="P12" i="12"/>
  <c r="Q5" i="6"/>
  <c r="F34" i="6" s="1"/>
  <c r="AB4" i="3"/>
  <c r="AB19" i="3" s="1"/>
  <c r="AC4" i="1"/>
  <c r="AD4" i="1" s="1"/>
  <c r="AB5" i="13"/>
  <c r="Z19" i="40"/>
  <c r="Z26" i="40" s="1"/>
  <c r="AB5" i="9"/>
  <c r="AB13" i="9" s="1"/>
  <c r="AB19" i="9" s="1"/>
  <c r="AB3" i="2"/>
  <c r="AB4" i="10" s="1"/>
  <c r="AB9" i="6" s="1"/>
  <c r="AA19" i="3"/>
  <c r="AA5" i="40"/>
  <c r="AA12" i="40" s="1"/>
  <c r="AB4" i="6"/>
  <c r="V27" i="2"/>
  <c r="T6" i="10"/>
  <c r="R18" i="12"/>
  <c r="R7" i="12"/>
  <c r="X5" i="10"/>
  <c r="X16" i="12" s="1"/>
  <c r="U10" i="10"/>
  <c r="U17" i="12"/>
  <c r="U8" i="9"/>
  <c r="Z12" i="40"/>
  <c r="AA11" i="12"/>
  <c r="AA15" i="12"/>
  <c r="BJ7" i="12" l="1"/>
  <c r="Q6" i="6"/>
  <c r="F35" i="6" s="1"/>
  <c r="U28" i="2"/>
  <c r="U28" i="40"/>
  <c r="V14" i="40" s="1"/>
  <c r="V6" i="10"/>
  <c r="V8" i="9" s="1"/>
  <c r="AB5" i="40"/>
  <c r="AB12" i="40" s="1"/>
  <c r="AC4" i="3"/>
  <c r="AC5" i="40" s="1"/>
  <c r="AC3" i="2"/>
  <c r="AC4" i="10" s="1"/>
  <c r="AC9" i="6" s="1"/>
  <c r="Q30" i="40"/>
  <c r="AC4" i="6"/>
  <c r="AC5" i="13"/>
  <c r="AB5" i="43"/>
  <c r="AB5" i="12"/>
  <c r="AB11" i="12" s="1"/>
  <c r="AC5" i="9"/>
  <c r="AC13" i="9" s="1"/>
  <c r="AC19" i="9" s="1"/>
  <c r="AA19" i="40"/>
  <c r="AA26" i="40" s="1"/>
  <c r="Y5" i="10"/>
  <c r="T10" i="10"/>
  <c r="T17" i="12"/>
  <c r="T8" i="9"/>
  <c r="U7" i="12"/>
  <c r="U18" i="12"/>
  <c r="W27" i="2"/>
  <c r="D88" i="2"/>
  <c r="AD5" i="13"/>
  <c r="AD5" i="9"/>
  <c r="AD13" i="9" s="1"/>
  <c r="AD19" i="9" s="1"/>
  <c r="AD4" i="6"/>
  <c r="AD4" i="3"/>
  <c r="AD3" i="2"/>
  <c r="AD4" i="10" s="1"/>
  <c r="AE4" i="1"/>
  <c r="Q7" i="10" l="1"/>
  <c r="Q10" i="6"/>
  <c r="V28" i="2"/>
  <c r="V7" i="40"/>
  <c r="V28" i="40" s="1"/>
  <c r="V17" i="12"/>
  <c r="V10" i="10"/>
  <c r="V18" i="12" s="1"/>
  <c r="AB15" i="12"/>
  <c r="AC5" i="43"/>
  <c r="AB19" i="40"/>
  <c r="AB26" i="40" s="1"/>
  <c r="AC19" i="3"/>
  <c r="AC5" i="12"/>
  <c r="AC15" i="12" s="1"/>
  <c r="R9" i="40"/>
  <c r="R27" i="40"/>
  <c r="Q12" i="12"/>
  <c r="R16" i="40"/>
  <c r="Y16" i="12"/>
  <c r="T7" i="12"/>
  <c r="T18" i="12"/>
  <c r="W6" i="10"/>
  <c r="D61" i="1"/>
  <c r="Z5" i="10"/>
  <c r="AD5" i="12"/>
  <c r="AC19" i="40"/>
  <c r="AC26" i="40" s="1"/>
  <c r="AC12" i="40"/>
  <c r="AA5" i="10"/>
  <c r="AE5" i="13"/>
  <c r="AE5" i="9"/>
  <c r="AE13" i="9" s="1"/>
  <c r="AE19" i="9" s="1"/>
  <c r="AE4" i="6"/>
  <c r="AE4" i="3"/>
  <c r="AE3" i="2"/>
  <c r="AE4" i="10" s="1"/>
  <c r="AF4" i="1"/>
  <c r="AD5" i="43"/>
  <c r="AD5" i="40"/>
  <c r="AD19" i="3"/>
  <c r="W7" i="40" l="1"/>
  <c r="W14" i="40"/>
  <c r="V7" i="12"/>
  <c r="AC11" i="12"/>
  <c r="R30" i="40"/>
  <c r="R5" i="6"/>
  <c r="X27" i="2"/>
  <c r="Z27" i="2"/>
  <c r="AC6" i="9"/>
  <c r="D62" i="1"/>
  <c r="D63" i="1"/>
  <c r="AB6" i="9"/>
  <c r="W10" i="10"/>
  <c r="W17" i="12"/>
  <c r="W8" i="9"/>
  <c r="Z16" i="12"/>
  <c r="D48" i="10"/>
  <c r="AE5" i="43"/>
  <c r="AE5" i="40"/>
  <c r="AE19" i="3"/>
  <c r="AD15" i="12"/>
  <c r="AD11" i="12"/>
  <c r="AD19" i="40"/>
  <c r="AD26" i="40" s="1"/>
  <c r="AD12" i="40"/>
  <c r="AF5" i="13"/>
  <c r="AF5" i="9"/>
  <c r="AF13" i="9" s="1"/>
  <c r="AF19" i="9" s="1"/>
  <c r="AF4" i="6"/>
  <c r="AF4" i="3"/>
  <c r="AF3" i="2"/>
  <c r="AF4" i="10" s="1"/>
  <c r="AG4" i="1"/>
  <c r="AE5" i="12"/>
  <c r="AA16" i="12"/>
  <c r="R6" i="6" l="1"/>
  <c r="W28" i="2"/>
  <c r="W28" i="40"/>
  <c r="X7" i="40" s="1"/>
  <c r="R12" i="12"/>
  <c r="S16" i="40"/>
  <c r="S9" i="40"/>
  <c r="S27" i="40"/>
  <c r="X6" i="10"/>
  <c r="X10" i="10" s="1"/>
  <c r="AB5" i="10"/>
  <c r="W18" i="12"/>
  <c r="W7" i="12"/>
  <c r="Z6" i="10"/>
  <c r="AC5" i="10"/>
  <c r="AG5" i="13"/>
  <c r="AG5" i="9"/>
  <c r="AG13" i="9" s="1"/>
  <c r="AG19" i="9" s="1"/>
  <c r="AG4" i="6"/>
  <c r="AG4" i="3"/>
  <c r="AG3" i="2"/>
  <c r="AG4" i="10" s="1"/>
  <c r="AG5" i="12" s="1"/>
  <c r="AH4" i="1"/>
  <c r="AF5" i="43"/>
  <c r="AF5" i="40"/>
  <c r="AF19" i="3"/>
  <c r="AE11" i="12"/>
  <c r="AE15" i="12"/>
  <c r="AF5" i="12"/>
  <c r="AE12" i="40"/>
  <c r="AE19" i="40"/>
  <c r="AE26" i="40" s="1"/>
  <c r="R7" i="10" l="1"/>
  <c r="X14" i="40"/>
  <c r="S5" i="6"/>
  <c r="S30" i="40"/>
  <c r="X17" i="12"/>
  <c r="X8" i="9"/>
  <c r="AE6" i="9"/>
  <c r="AB16" i="12"/>
  <c r="Y27" i="2"/>
  <c r="AD6" i="9"/>
  <c r="AA27" i="2"/>
  <c r="Z8" i="9"/>
  <c r="Z10" i="10"/>
  <c r="Z17" i="12"/>
  <c r="X7" i="12"/>
  <c r="X18" i="12"/>
  <c r="AF19" i="40"/>
  <c r="AF26" i="40" s="1"/>
  <c r="AF12" i="40"/>
  <c r="AH5" i="13"/>
  <c r="AH5" i="9"/>
  <c r="AH13" i="9" s="1"/>
  <c r="AH19" i="9" s="1"/>
  <c r="AH4" i="6"/>
  <c r="AH4" i="3"/>
  <c r="AH3" i="2"/>
  <c r="AH4" i="10" s="1"/>
  <c r="AI4" i="1"/>
  <c r="AG11" i="12"/>
  <c r="AG15" i="12"/>
  <c r="AC16" i="12"/>
  <c r="AF15" i="12"/>
  <c r="AF11" i="12"/>
  <c r="AG5" i="43"/>
  <c r="AG5" i="40"/>
  <c r="AG19" i="3"/>
  <c r="S6" i="6" l="1"/>
  <c r="X28" i="40"/>
  <c r="Y14" i="40" s="1"/>
  <c r="Y28" i="2" s="1"/>
  <c r="X28" i="2"/>
  <c r="D111" i="2"/>
  <c r="AA6" i="10"/>
  <c r="AA17" i="12" s="1"/>
  <c r="T9" i="40"/>
  <c r="T27" i="40"/>
  <c r="T16" i="40"/>
  <c r="S12" i="12"/>
  <c r="AD5" i="10"/>
  <c r="Y6" i="10"/>
  <c r="AC27" i="2"/>
  <c r="AB27" i="2"/>
  <c r="Z18" i="12"/>
  <c r="Z7" i="12"/>
  <c r="AE5" i="10"/>
  <c r="AG19" i="40"/>
  <c r="AG26" i="40" s="1"/>
  <c r="AG12" i="40"/>
  <c r="AH5" i="12"/>
  <c r="AH9" i="6"/>
  <c r="AI5" i="13"/>
  <c r="AI5" i="9"/>
  <c r="AI13" i="9" s="1"/>
  <c r="AI19" i="9" s="1"/>
  <c r="AI4" i="6"/>
  <c r="AI4" i="3"/>
  <c r="AI3" i="2"/>
  <c r="AI4" i="10" s="1"/>
  <c r="AJ4" i="1"/>
  <c r="AH5" i="43"/>
  <c r="AH5" i="40"/>
  <c r="AH19" i="3"/>
  <c r="S7" i="10" l="1"/>
  <c r="Y7" i="40"/>
  <c r="Y28" i="40" s="1"/>
  <c r="Z14" i="40" s="1"/>
  <c r="D110" i="2" s="1"/>
  <c r="AA10" i="10"/>
  <c r="AA18" i="12" s="1"/>
  <c r="AA8" i="9"/>
  <c r="T5" i="6"/>
  <c r="T30" i="40"/>
  <c r="AD27" i="2"/>
  <c r="AD16" i="12"/>
  <c r="AF6" i="9"/>
  <c r="Y10" i="10"/>
  <c r="Y8" i="9"/>
  <c r="D81" i="9" s="1"/>
  <c r="Y17" i="12"/>
  <c r="D49" i="10"/>
  <c r="AC6" i="10"/>
  <c r="AB6" i="10"/>
  <c r="AE16" i="12"/>
  <c r="AI5" i="43"/>
  <c r="AI5" i="40"/>
  <c r="AI19" i="3"/>
  <c r="AH19" i="40"/>
  <c r="AH26" i="40" s="1"/>
  <c r="AH12" i="40"/>
  <c r="AJ5" i="13"/>
  <c r="AJ5" i="9"/>
  <c r="AJ13" i="9" s="1"/>
  <c r="AJ19" i="9" s="1"/>
  <c r="AJ4" i="6"/>
  <c r="AJ4" i="3"/>
  <c r="AJ3" i="2"/>
  <c r="AJ4" i="10" s="1"/>
  <c r="AK4" i="1"/>
  <c r="AI5" i="12"/>
  <c r="AI9" i="6"/>
  <c r="AH15" i="12"/>
  <c r="AH11" i="12"/>
  <c r="AC10" i="10" l="1"/>
  <c r="AC18" i="12" s="1"/>
  <c r="T6" i="6"/>
  <c r="Z28" i="2"/>
  <c r="Z7" i="40"/>
  <c r="Z28" i="40" s="1"/>
  <c r="AA14" i="40" s="1"/>
  <c r="C72" i="40"/>
  <c r="AA7" i="12"/>
  <c r="U9" i="40"/>
  <c r="U27" i="40"/>
  <c r="T12" i="12"/>
  <c r="U16" i="40"/>
  <c r="AG6" i="9"/>
  <c r="Y18" i="12"/>
  <c r="Y7" i="12"/>
  <c r="D53" i="10"/>
  <c r="AF5" i="10"/>
  <c r="AC8" i="9"/>
  <c r="AC17" i="12"/>
  <c r="AD6" i="10"/>
  <c r="AB10" i="10"/>
  <c r="AB8" i="9"/>
  <c r="AB17" i="12"/>
  <c r="AI11" i="12"/>
  <c r="AI15" i="12"/>
  <c r="AK5" i="13"/>
  <c r="AK5" i="9"/>
  <c r="AK13" i="9" s="1"/>
  <c r="AK19" i="9" s="1"/>
  <c r="AK4" i="6"/>
  <c r="AK4" i="3"/>
  <c r="AK3" i="2"/>
  <c r="AK4" i="10" s="1"/>
  <c r="AL4" i="1"/>
  <c r="AM4" i="1" s="1"/>
  <c r="AJ5" i="43"/>
  <c r="AJ5" i="40"/>
  <c r="AJ19" i="3"/>
  <c r="AI12" i="40"/>
  <c r="AI19" i="40"/>
  <c r="AI26" i="40" s="1"/>
  <c r="AJ5" i="12"/>
  <c r="AJ9" i="6"/>
  <c r="AM5" i="13" l="1"/>
  <c r="AM5" i="9"/>
  <c r="AM13" i="9" s="1"/>
  <c r="AM19" i="9" s="1"/>
  <c r="AM4" i="6"/>
  <c r="AM3" i="2"/>
  <c r="AM4" i="10" s="1"/>
  <c r="AM5" i="12" s="1"/>
  <c r="AN4" i="1"/>
  <c r="AM4" i="3"/>
  <c r="AA28" i="2"/>
  <c r="D112" i="2"/>
  <c r="AC7" i="12"/>
  <c r="AF16" i="12"/>
  <c r="T7" i="10"/>
  <c r="AA7" i="40"/>
  <c r="AA28" i="40" s="1"/>
  <c r="AB7" i="40" s="1"/>
  <c r="C74" i="40"/>
  <c r="U30" i="40"/>
  <c r="U5" i="6"/>
  <c r="AG5" i="10"/>
  <c r="AE27" i="2"/>
  <c r="AF27" i="2"/>
  <c r="AH6" i="9"/>
  <c r="AG27" i="2"/>
  <c r="AB18" i="12"/>
  <c r="AB7" i="12"/>
  <c r="AD17" i="12"/>
  <c r="AD10" i="10"/>
  <c r="AD8" i="9"/>
  <c r="AJ19" i="40"/>
  <c r="AJ26" i="40" s="1"/>
  <c r="AJ12" i="40"/>
  <c r="AL5" i="13"/>
  <c r="AL5" i="9"/>
  <c r="AL13" i="9" s="1"/>
  <c r="AL19" i="9" s="1"/>
  <c r="AL4" i="6"/>
  <c r="AL4" i="3"/>
  <c r="AL3" i="2"/>
  <c r="AL4" i="10" s="1"/>
  <c r="AK5" i="12"/>
  <c r="AK9" i="6"/>
  <c r="AJ15" i="12"/>
  <c r="AJ11" i="12"/>
  <c r="AK5" i="43"/>
  <c r="AK5" i="40"/>
  <c r="AK19" i="3"/>
  <c r="AM11" i="12" l="1"/>
  <c r="AM15" i="12"/>
  <c r="AM19" i="3"/>
  <c r="AM5" i="40"/>
  <c r="AO4" i="1"/>
  <c r="AN5" i="13"/>
  <c r="AN5" i="9"/>
  <c r="AN13" i="9" s="1"/>
  <c r="AN19" i="9" s="1"/>
  <c r="AN4" i="6"/>
  <c r="AN4" i="3"/>
  <c r="AN3" i="2"/>
  <c r="AN4" i="10" s="1"/>
  <c r="AN5" i="12" s="1"/>
  <c r="U6" i="6"/>
  <c r="AB14" i="40"/>
  <c r="D71" i="40"/>
  <c r="V9" i="40"/>
  <c r="V27" i="40"/>
  <c r="U12" i="12"/>
  <c r="V16" i="40"/>
  <c r="AG16" i="12"/>
  <c r="AE6" i="10"/>
  <c r="AF6" i="10"/>
  <c r="AH5" i="10"/>
  <c r="AI6" i="9"/>
  <c r="AG6" i="10"/>
  <c r="AG10" i="10" s="1"/>
  <c r="AD7" i="12"/>
  <c r="AD18" i="12"/>
  <c r="AK19" i="40"/>
  <c r="AK26" i="40" s="1"/>
  <c r="AK12" i="40"/>
  <c r="AK11" i="12"/>
  <c r="AK15" i="12"/>
  <c r="AL5" i="43"/>
  <c r="AL5" i="40"/>
  <c r="AL19" i="3"/>
  <c r="AL5" i="12"/>
  <c r="AM12" i="40" l="1"/>
  <c r="AM19" i="40"/>
  <c r="AM26" i="40" s="1"/>
  <c r="AN11" i="12"/>
  <c r="AN15" i="12"/>
  <c r="AN5" i="40"/>
  <c r="AN19" i="3"/>
  <c r="AP4" i="1"/>
  <c r="AO5" i="13"/>
  <c r="AO5" i="9"/>
  <c r="AO13" i="9" s="1"/>
  <c r="AO19" i="9" s="1"/>
  <c r="AO4" i="6"/>
  <c r="AO4" i="3"/>
  <c r="AO3" i="2"/>
  <c r="AO4" i="10" s="1"/>
  <c r="AO5" i="12" s="1"/>
  <c r="AE10" i="10"/>
  <c r="AE7" i="12" s="1"/>
  <c r="AB28" i="2"/>
  <c r="U7" i="10"/>
  <c r="AB28" i="40"/>
  <c r="AC14" i="40" s="1"/>
  <c r="W16" i="40"/>
  <c r="V30" i="40"/>
  <c r="V5" i="6"/>
  <c r="AE8" i="9"/>
  <c r="AE17" i="12"/>
  <c r="AH27" i="2"/>
  <c r="AH16" i="12"/>
  <c r="AF17" i="12"/>
  <c r="AF8" i="9"/>
  <c r="AF10" i="10"/>
  <c r="AG17" i="12"/>
  <c r="AI5" i="10"/>
  <c r="AG8" i="9"/>
  <c r="AJ6" i="9"/>
  <c r="AL15" i="12"/>
  <c r="AL11" i="12"/>
  <c r="AL19" i="40"/>
  <c r="AL26" i="40" s="1"/>
  <c r="AL12" i="40"/>
  <c r="AM5" i="43"/>
  <c r="AG7" i="12"/>
  <c r="AG18" i="12"/>
  <c r="AE18" i="12" l="1"/>
  <c r="AO11" i="12"/>
  <c r="AO15" i="12"/>
  <c r="AQ4" i="1"/>
  <c r="AP5" i="13"/>
  <c r="AP5" i="9"/>
  <c r="AP13" i="9" s="1"/>
  <c r="AP19" i="9" s="1"/>
  <c r="AP4" i="6"/>
  <c r="AP4" i="3"/>
  <c r="AP3" i="2"/>
  <c r="AP4" i="10" s="1"/>
  <c r="AP5" i="12" s="1"/>
  <c r="AO5" i="40"/>
  <c r="AO19" i="3"/>
  <c r="AN19" i="40"/>
  <c r="AN26" i="40" s="1"/>
  <c r="AN12" i="40"/>
  <c r="AC28" i="2"/>
  <c r="V6" i="6"/>
  <c r="AC7" i="40"/>
  <c r="AC28" i="40" s="1"/>
  <c r="AD14" i="40" s="1"/>
  <c r="AD28" i="2" s="1"/>
  <c r="W9" i="40"/>
  <c r="W27" i="40"/>
  <c r="V12" i="12"/>
  <c r="W5" i="6"/>
  <c r="AL6" i="9"/>
  <c r="AF7" i="12"/>
  <c r="AF18" i="12"/>
  <c r="AJ5" i="10"/>
  <c r="AI16" i="12"/>
  <c r="AK6" i="9"/>
  <c r="AH6" i="10"/>
  <c r="AN5" i="43"/>
  <c r="E79" i="9" l="1"/>
  <c r="AP11" i="12"/>
  <c r="AP15" i="12"/>
  <c r="AP5" i="40"/>
  <c r="AP19" i="3"/>
  <c r="AR4" i="1"/>
  <c r="AQ5" i="13"/>
  <c r="AQ5" i="9"/>
  <c r="AQ13" i="9" s="1"/>
  <c r="AQ19" i="9" s="1"/>
  <c r="AQ3" i="2"/>
  <c r="AQ4" i="10" s="1"/>
  <c r="AQ5" i="12" s="1"/>
  <c r="AQ4" i="6"/>
  <c r="AQ4" i="3"/>
  <c r="AO12" i="40"/>
  <c r="AO19" i="40"/>
  <c r="AO26" i="40" s="1"/>
  <c r="V7" i="10"/>
  <c r="V10" i="6"/>
  <c r="W6" i="6"/>
  <c r="AD7" i="40"/>
  <c r="AD28" i="40" s="1"/>
  <c r="AE14" i="40" s="1"/>
  <c r="X16" i="40"/>
  <c r="W30" i="40"/>
  <c r="AK5" i="10"/>
  <c r="AJ16" i="12"/>
  <c r="AJ27" i="2"/>
  <c r="AI27" i="2"/>
  <c r="AH10" i="10"/>
  <c r="AH17" i="12"/>
  <c r="AH8" i="9"/>
  <c r="AL5" i="10"/>
  <c r="E61" i="1"/>
  <c r="E88" i="2"/>
  <c r="B88" i="2" s="1"/>
  <c r="AO5" i="43"/>
  <c r="AQ11" i="12" l="1"/>
  <c r="AQ15" i="12"/>
  <c r="AP12" i="40"/>
  <c r="AP19" i="40"/>
  <c r="AP26" i="40" s="1"/>
  <c r="AQ19" i="3"/>
  <c r="AQ5" i="40"/>
  <c r="AS4" i="1"/>
  <c r="AR5" i="13"/>
  <c r="AR5" i="9"/>
  <c r="AR13" i="9" s="1"/>
  <c r="AR19" i="9" s="1"/>
  <c r="AR4" i="6"/>
  <c r="AR3" i="2"/>
  <c r="AR4" i="10" s="1"/>
  <c r="AR5" i="12" s="1"/>
  <c r="AR4" i="3"/>
  <c r="G48" i="10"/>
  <c r="F48" i="10"/>
  <c r="W10" i="6"/>
  <c r="W7" i="10"/>
  <c r="AE7" i="40"/>
  <c r="AE28" i="40" s="1"/>
  <c r="AF14" i="40" s="1"/>
  <c r="AE28" i="2"/>
  <c r="X9" i="40"/>
  <c r="X27" i="40"/>
  <c r="W12" i="12"/>
  <c r="X5" i="6"/>
  <c r="AK16" i="12"/>
  <c r="AI6" i="10"/>
  <c r="AH7" i="12"/>
  <c r="AH18" i="12"/>
  <c r="AJ6" i="10"/>
  <c r="AP5" i="43"/>
  <c r="AL16" i="12"/>
  <c r="E48" i="10"/>
  <c r="E62" i="1"/>
  <c r="AR11" i="12" l="1"/>
  <c r="AR15" i="12"/>
  <c r="AT4" i="1"/>
  <c r="AS5" i="13"/>
  <c r="AS5" i="9"/>
  <c r="AS13" i="9" s="1"/>
  <c r="AS19" i="9" s="1"/>
  <c r="AS4" i="6"/>
  <c r="AS4" i="3"/>
  <c r="AS3" i="2"/>
  <c r="AS4" i="10" s="1"/>
  <c r="AS5" i="12" s="1"/>
  <c r="AR5" i="40"/>
  <c r="AR19" i="3"/>
  <c r="AQ12" i="40"/>
  <c r="AQ19" i="40"/>
  <c r="AQ26" i="40" s="1"/>
  <c r="X6" i="6"/>
  <c r="AF7" i="40"/>
  <c r="AF28" i="40" s="1"/>
  <c r="Y16" i="40"/>
  <c r="X30" i="40"/>
  <c r="AK27" i="2"/>
  <c r="AI8" i="9"/>
  <c r="AI17" i="12"/>
  <c r="AI10" i="10"/>
  <c r="AJ10" i="10"/>
  <c r="AJ8" i="9"/>
  <c r="AJ17" i="12"/>
  <c r="AQ5" i="43"/>
  <c r="E63" i="1"/>
  <c r="AS11" i="12" l="1"/>
  <c r="AS15" i="12"/>
  <c r="AU4" i="1"/>
  <c r="AT5" i="13"/>
  <c r="AT5" i="9"/>
  <c r="AT13" i="9" s="1"/>
  <c r="AT19" i="9" s="1"/>
  <c r="AT4" i="6"/>
  <c r="AT4" i="3"/>
  <c r="AT3" i="2"/>
  <c r="AT4" i="10" s="1"/>
  <c r="AT5" i="12" s="1"/>
  <c r="AS5" i="40"/>
  <c r="AS19" i="3"/>
  <c r="AR12" i="40"/>
  <c r="AR19" i="40"/>
  <c r="AR26" i="40" s="1"/>
  <c r="AF28" i="2"/>
  <c r="X7" i="10"/>
  <c r="AG14" i="40"/>
  <c r="AG7" i="40"/>
  <c r="Y9" i="40"/>
  <c r="Y27" i="40"/>
  <c r="X12" i="12"/>
  <c r="Y5" i="6"/>
  <c r="AK6" i="10"/>
  <c r="AK8" i="9" s="1"/>
  <c r="AL27" i="2"/>
  <c r="AI7" i="12"/>
  <c r="AI18" i="12"/>
  <c r="AJ7" i="12"/>
  <c r="AJ18" i="12"/>
  <c r="AR5" i="43"/>
  <c r="U9" i="6"/>
  <c r="U10" i="6" s="1"/>
  <c r="AT11" i="12" l="1"/>
  <c r="AT15" i="12"/>
  <c r="AT5" i="40"/>
  <c r="AT19" i="3"/>
  <c r="AV4" i="1"/>
  <c r="AU5" i="13"/>
  <c r="AU5" i="9"/>
  <c r="AU13" i="9" s="1"/>
  <c r="AU19" i="9" s="1"/>
  <c r="AU3" i="2"/>
  <c r="AU4" i="10" s="1"/>
  <c r="AU5" i="12" s="1"/>
  <c r="AU4" i="3"/>
  <c r="AU4" i="6"/>
  <c r="AS19" i="40"/>
  <c r="AS26" i="40" s="1"/>
  <c r="AS12" i="40"/>
  <c r="E111" i="2"/>
  <c r="B111" i="2" s="1"/>
  <c r="Y6" i="6"/>
  <c r="B27" i="2"/>
  <c r="AG28" i="40"/>
  <c r="Z16" i="40"/>
  <c r="Y30" i="40"/>
  <c r="AK10" i="10"/>
  <c r="AK7" i="12" s="1"/>
  <c r="AK17" i="12"/>
  <c r="AL6" i="10"/>
  <c r="AS5" i="43"/>
  <c r="AT12" i="40" l="1"/>
  <c r="AT19" i="40"/>
  <c r="AT26" i="40" s="1"/>
  <c r="AU11" i="12"/>
  <c r="AU15" i="12"/>
  <c r="AU5" i="40"/>
  <c r="AU19" i="3"/>
  <c r="AW4" i="1"/>
  <c r="AV5" i="13"/>
  <c r="AV5" i="9"/>
  <c r="AV13" i="9" s="1"/>
  <c r="AV19" i="9" s="1"/>
  <c r="AV4" i="6"/>
  <c r="AV3" i="2"/>
  <c r="AV4" i="10" s="1"/>
  <c r="AV5" i="12" s="1"/>
  <c r="AV4" i="3"/>
  <c r="B105" i="2"/>
  <c r="B141" i="2" s="1"/>
  <c r="G49" i="10"/>
  <c r="F49" i="10"/>
  <c r="AG28" i="2"/>
  <c r="Y7" i="10"/>
  <c r="Y10" i="6"/>
  <c r="AH14" i="40"/>
  <c r="AH7" i="40"/>
  <c r="X10" i="6"/>
  <c r="D36" i="6"/>
  <c r="Z9" i="40"/>
  <c r="Z27" i="40"/>
  <c r="Y12" i="12"/>
  <c r="AK18" i="12"/>
  <c r="AL17" i="12"/>
  <c r="AL8" i="9"/>
  <c r="E81" i="9" s="1"/>
  <c r="AL10" i="10"/>
  <c r="E49" i="10"/>
  <c r="AT5" i="43"/>
  <c r="AV5" i="40" l="1"/>
  <c r="AV19" i="3"/>
  <c r="AV11" i="12"/>
  <c r="AV15" i="12"/>
  <c r="AX4" i="1"/>
  <c r="AW5" i="13"/>
  <c r="AW5" i="9"/>
  <c r="AW13" i="9" s="1"/>
  <c r="AW19" i="9" s="1"/>
  <c r="AW4" i="6"/>
  <c r="AW3" i="2"/>
  <c r="AW4" i="10" s="1"/>
  <c r="AW5" i="12" s="1"/>
  <c r="AW4" i="3"/>
  <c r="AU19" i="40"/>
  <c r="AU26" i="40" s="1"/>
  <c r="AU12" i="40"/>
  <c r="Z6" i="6"/>
  <c r="D35" i="6" s="1"/>
  <c r="Z5" i="6"/>
  <c r="F53" i="10"/>
  <c r="G53" i="10"/>
  <c r="D52" i="10"/>
  <c r="AH28" i="2"/>
  <c r="AH28" i="40"/>
  <c r="AA16" i="40"/>
  <c r="Z30" i="40"/>
  <c r="AL18" i="12"/>
  <c r="E53" i="10"/>
  <c r="AL7" i="12"/>
  <c r="AU5" i="43"/>
  <c r="AW5" i="40" l="1"/>
  <c r="AW19" i="3"/>
  <c r="AW11" i="12"/>
  <c r="AW15" i="12"/>
  <c r="AX5" i="13"/>
  <c r="AX5" i="9"/>
  <c r="AX13" i="9" s="1"/>
  <c r="AX19" i="9" s="1"/>
  <c r="AX4" i="6"/>
  <c r="AX4" i="3"/>
  <c r="AY4" i="1"/>
  <c r="AX3" i="2"/>
  <c r="AX4" i="10" s="1"/>
  <c r="AX5" i="12" s="1"/>
  <c r="AV12" i="40"/>
  <c r="AV19" i="40"/>
  <c r="AV26" i="40" s="1"/>
  <c r="Z7" i="10"/>
  <c r="D50" i="10" s="1"/>
  <c r="D34" i="6"/>
  <c r="AI14" i="40"/>
  <c r="AI7" i="40"/>
  <c r="Z12" i="12"/>
  <c r="AA5" i="6"/>
  <c r="AA9" i="40"/>
  <c r="AA27" i="40"/>
  <c r="AV5" i="43"/>
  <c r="AX11" i="12" l="1"/>
  <c r="AX15" i="12"/>
  <c r="AX5" i="40"/>
  <c r="AX19" i="3"/>
  <c r="AZ4" i="1"/>
  <c r="AY5" i="13"/>
  <c r="AY5" i="9"/>
  <c r="AY13" i="9" s="1"/>
  <c r="AY19" i="9" s="1"/>
  <c r="AY4" i="3"/>
  <c r="AY3" i="2"/>
  <c r="AY4" i="10" s="1"/>
  <c r="AY5" i="12" s="1"/>
  <c r="AY4" i="6"/>
  <c r="AW12" i="40"/>
  <c r="AW19" i="40"/>
  <c r="AW26" i="40" s="1"/>
  <c r="AA6" i="6"/>
  <c r="AI28" i="2"/>
  <c r="AI28" i="40"/>
  <c r="AB16" i="40"/>
  <c r="AA30" i="40"/>
  <c r="AW5" i="43"/>
  <c r="AY5" i="40" l="1"/>
  <c r="AY19" i="3"/>
  <c r="AX12" i="40"/>
  <c r="AX19" i="40"/>
  <c r="AX26" i="40" s="1"/>
  <c r="AY11" i="12"/>
  <c r="AY15" i="12"/>
  <c r="BA4" i="1"/>
  <c r="AZ5" i="13"/>
  <c r="AZ5" i="9"/>
  <c r="AZ13" i="9" s="1"/>
  <c r="AZ19" i="9" s="1"/>
  <c r="AZ4" i="6"/>
  <c r="AZ4" i="3"/>
  <c r="AZ3" i="2"/>
  <c r="AZ4" i="10" s="1"/>
  <c r="AZ5" i="12" s="1"/>
  <c r="AA7" i="10"/>
  <c r="AJ14" i="40"/>
  <c r="AJ7" i="40"/>
  <c r="AB9" i="40"/>
  <c r="AB27" i="40"/>
  <c r="AA12" i="12"/>
  <c r="AB5" i="6"/>
  <c r="AX5" i="43"/>
  <c r="AZ11" i="12" l="1"/>
  <c r="AZ15" i="12"/>
  <c r="BB4" i="1"/>
  <c r="BA5" i="13"/>
  <c r="BA5" i="9"/>
  <c r="BA13" i="9" s="1"/>
  <c r="BA19" i="9" s="1"/>
  <c r="BA4" i="6"/>
  <c r="BA4" i="3"/>
  <c r="BA3" i="2"/>
  <c r="BA4" i="10" s="1"/>
  <c r="BA5" i="12" s="1"/>
  <c r="AZ5" i="40"/>
  <c r="AZ19" i="3"/>
  <c r="AY19" i="40"/>
  <c r="AY26" i="40" s="1"/>
  <c r="AY12" i="40"/>
  <c r="AB6" i="6"/>
  <c r="AJ28" i="2"/>
  <c r="AJ28" i="40"/>
  <c r="AK14" i="40" s="1"/>
  <c r="AC16" i="40"/>
  <c r="AB30" i="40"/>
  <c r="AY5" i="43"/>
  <c r="BA11" i="12" l="1"/>
  <c r="BA15" i="12"/>
  <c r="BC4" i="1"/>
  <c r="BB5" i="13"/>
  <c r="BB5" i="9"/>
  <c r="BB13" i="9" s="1"/>
  <c r="BB19" i="9" s="1"/>
  <c r="BB4" i="6"/>
  <c r="BB4" i="3"/>
  <c r="BB3" i="2"/>
  <c r="BB4" i="10" s="1"/>
  <c r="BB5" i="12" s="1"/>
  <c r="BA5" i="40"/>
  <c r="BA19" i="3"/>
  <c r="AZ19" i="40"/>
  <c r="AZ26" i="40" s="1"/>
  <c r="AZ12" i="40"/>
  <c r="AB7" i="10"/>
  <c r="AB10" i="6"/>
  <c r="AK28" i="2"/>
  <c r="AK7" i="40"/>
  <c r="AK28" i="40" s="1"/>
  <c r="AL14" i="40" s="1"/>
  <c r="AC9" i="40"/>
  <c r="AC27" i="40"/>
  <c r="AB12" i="12"/>
  <c r="AC5" i="6"/>
  <c r="G34" i="6" s="1"/>
  <c r="AZ5" i="43"/>
  <c r="BB11" i="12" l="1"/>
  <c r="BB15" i="12"/>
  <c r="BB5" i="40"/>
  <c r="BB19" i="3"/>
  <c r="BD4" i="1"/>
  <c r="BC5" i="13"/>
  <c r="BC5" i="9"/>
  <c r="BC13" i="9" s="1"/>
  <c r="BC19" i="9" s="1"/>
  <c r="BC4" i="6"/>
  <c r="BC3" i="2"/>
  <c r="BC4" i="10" s="1"/>
  <c r="BC5" i="12" s="1"/>
  <c r="BC4" i="3"/>
  <c r="BA12" i="40"/>
  <c r="BA19" i="40"/>
  <c r="BA26" i="40" s="1"/>
  <c r="AC6" i="6"/>
  <c r="G35" i="6" s="1"/>
  <c r="E110" i="2"/>
  <c r="AL7" i="40"/>
  <c r="AL28" i="40" s="1"/>
  <c r="D72" i="40"/>
  <c r="AD16" i="40"/>
  <c r="AC30" i="40"/>
  <c r="BA5" i="43"/>
  <c r="F61" i="1"/>
  <c r="BB12" i="40" l="1"/>
  <c r="BB19" i="40"/>
  <c r="BB26" i="40" s="1"/>
  <c r="BC19" i="3"/>
  <c r="BC5" i="40"/>
  <c r="BC11" i="12"/>
  <c r="BC15" i="12"/>
  <c r="BE4" i="1"/>
  <c r="BD5" i="13"/>
  <c r="BD5" i="9"/>
  <c r="BD13" i="9" s="1"/>
  <c r="BD19" i="9" s="1"/>
  <c r="BD4" i="6"/>
  <c r="BD4" i="3"/>
  <c r="BD3" i="2"/>
  <c r="BD4" i="10" s="1"/>
  <c r="BD5" i="12" s="1"/>
  <c r="AC7" i="10"/>
  <c r="AC10" i="6"/>
  <c r="AL28" i="2"/>
  <c r="D74" i="40"/>
  <c r="AM7" i="40"/>
  <c r="AM14" i="40"/>
  <c r="AD9" i="40"/>
  <c r="AD27" i="40"/>
  <c r="AC12" i="12"/>
  <c r="AD5" i="6"/>
  <c r="F62" i="1"/>
  <c r="BB5" i="43"/>
  <c r="BD11" i="12" l="1"/>
  <c r="BD15" i="12"/>
  <c r="BC12" i="40"/>
  <c r="BC19" i="40"/>
  <c r="BC26" i="40" s="1"/>
  <c r="BF4" i="1"/>
  <c r="BE5" i="13"/>
  <c r="BE5" i="9"/>
  <c r="BE13" i="9" s="1"/>
  <c r="BE19" i="9" s="1"/>
  <c r="BE4" i="6"/>
  <c r="BE4" i="3"/>
  <c r="BE3" i="2"/>
  <c r="BE4" i="10" s="1"/>
  <c r="BE5" i="12" s="1"/>
  <c r="BD5" i="40"/>
  <c r="BD19" i="3"/>
  <c r="E112" i="2"/>
  <c r="AD6" i="6"/>
  <c r="AM16" i="40"/>
  <c r="AM9" i="40"/>
  <c r="AM28" i="40"/>
  <c r="AE16" i="40"/>
  <c r="AD30" i="40"/>
  <c r="BC5" i="43"/>
  <c r="F63" i="1"/>
  <c r="BD19" i="40" l="1"/>
  <c r="BD26" i="40" s="1"/>
  <c r="BD12" i="40"/>
  <c r="BE11" i="12"/>
  <c r="BE15" i="12"/>
  <c r="BE5" i="40"/>
  <c r="BE19" i="3"/>
  <c r="BG4" i="1"/>
  <c r="BF5" i="13"/>
  <c r="BF5" i="9"/>
  <c r="BF13" i="9" s="1"/>
  <c r="BF19" i="9" s="1"/>
  <c r="BF4" i="6"/>
  <c r="BF4" i="3"/>
  <c r="BF3" i="2"/>
  <c r="BF4" i="10" s="1"/>
  <c r="BF5" i="12" s="1"/>
  <c r="AM6" i="6"/>
  <c r="AM5" i="6"/>
  <c r="AD7" i="10"/>
  <c r="AN7" i="40"/>
  <c r="AM30" i="40"/>
  <c r="AN14" i="40"/>
  <c r="AM28" i="2"/>
  <c r="AE5" i="6"/>
  <c r="AD12" i="12"/>
  <c r="AE9" i="40"/>
  <c r="AE27" i="40"/>
  <c r="BD5" i="43"/>
  <c r="AG9" i="6"/>
  <c r="BF11" i="12" l="1"/>
  <c r="BF15" i="12"/>
  <c r="BF5" i="40"/>
  <c r="BF19" i="3"/>
  <c r="BH4" i="1"/>
  <c r="BG5" i="13"/>
  <c r="BG5" i="9"/>
  <c r="BG13" i="9" s="1"/>
  <c r="BG19" i="9" s="1"/>
  <c r="BG4" i="6"/>
  <c r="BG3" i="2"/>
  <c r="BG4" i="10" s="1"/>
  <c r="BG5" i="12" s="1"/>
  <c r="BG4" i="3"/>
  <c r="BE19" i="40"/>
  <c r="BE26" i="40" s="1"/>
  <c r="BE12" i="40"/>
  <c r="B104" i="2"/>
  <c r="B140" i="2" s="1"/>
  <c r="AE6" i="6"/>
  <c r="AM7" i="10"/>
  <c r="AM10" i="6"/>
  <c r="AM12" i="12"/>
  <c r="AN9" i="40"/>
  <c r="AN28" i="40"/>
  <c r="AN16" i="40"/>
  <c r="AF16" i="40"/>
  <c r="AE30" i="40"/>
  <c r="BE5" i="43"/>
  <c r="BF12" i="40" l="1"/>
  <c r="BF19" i="40"/>
  <c r="BF26" i="40" s="1"/>
  <c r="BG19" i="3"/>
  <c r="BG5" i="40"/>
  <c r="BG11" i="12"/>
  <c r="BG15" i="12"/>
  <c r="BI4" i="1"/>
  <c r="BH5" i="13"/>
  <c r="BH5" i="9"/>
  <c r="BH13" i="9" s="1"/>
  <c r="BH19" i="9" s="1"/>
  <c r="BH4" i="6"/>
  <c r="BH3" i="2"/>
  <c r="BH4" i="10" s="1"/>
  <c r="BH5" i="12" s="1"/>
  <c r="BH4" i="3"/>
  <c r="AN6" i="6"/>
  <c r="AN5" i="6"/>
  <c r="AE7" i="10"/>
  <c r="AM9" i="9"/>
  <c r="AM11" i="10"/>
  <c r="AM15" i="10" s="1"/>
  <c r="AN28" i="2"/>
  <c r="AN30" i="40"/>
  <c r="AO7" i="40"/>
  <c r="AO14" i="40"/>
  <c r="AF9" i="40"/>
  <c r="AF27" i="40"/>
  <c r="AE12" i="12"/>
  <c r="AF5" i="6"/>
  <c r="BF5" i="43"/>
  <c r="AM7" i="9" l="1"/>
  <c r="AM10" i="9" s="1"/>
  <c r="BH5" i="40"/>
  <c r="BH19" i="3"/>
  <c r="BG12" i="40"/>
  <c r="BG19" i="40"/>
  <c r="BG26" i="40" s="1"/>
  <c r="BH11" i="12"/>
  <c r="BH15" i="12"/>
  <c r="BJ4" i="1"/>
  <c r="BI5" i="13"/>
  <c r="BI5" i="9"/>
  <c r="BI13" i="9" s="1"/>
  <c r="BI19" i="9" s="1"/>
  <c r="BI4" i="6"/>
  <c r="BI4" i="3"/>
  <c r="BI3" i="2"/>
  <c r="BI4" i="10" s="1"/>
  <c r="BI5" i="12" s="1"/>
  <c r="AF6" i="6"/>
  <c r="AM19" i="12"/>
  <c r="AM17" i="10"/>
  <c r="AM6" i="12"/>
  <c r="AM8" i="12"/>
  <c r="AN7" i="10"/>
  <c r="AN10" i="6"/>
  <c r="AN12" i="12"/>
  <c r="AO16" i="40"/>
  <c r="AO9" i="40"/>
  <c r="AO28" i="40"/>
  <c r="AG16" i="40"/>
  <c r="AF30" i="40"/>
  <c r="BG5" i="43"/>
  <c r="AM34" i="9" l="1"/>
  <c r="BI11" i="12"/>
  <c r="BI15" i="12"/>
  <c r="BI5" i="40"/>
  <c r="BI19" i="3"/>
  <c r="BJ5" i="13"/>
  <c r="BJ5" i="9"/>
  <c r="BJ13" i="9" s="1"/>
  <c r="BJ19" i="9" s="1"/>
  <c r="BJ4" i="6"/>
  <c r="BJ4" i="3"/>
  <c r="BJ3" i="2"/>
  <c r="BJ4" i="10" s="1"/>
  <c r="BJ5" i="12" s="1"/>
  <c r="BH12" i="40"/>
  <c r="BH19" i="40"/>
  <c r="BH26" i="40" s="1"/>
  <c r="AO6" i="6"/>
  <c r="AO5" i="6"/>
  <c r="AF7" i="10"/>
  <c r="AN9" i="9"/>
  <c r="AN11" i="10"/>
  <c r="AN15" i="10" s="1"/>
  <c r="AO30" i="40"/>
  <c r="AP7" i="40"/>
  <c r="AP14" i="40"/>
  <c r="AO28" i="2"/>
  <c r="AG9" i="40"/>
  <c r="AG27" i="40"/>
  <c r="AF12" i="12"/>
  <c r="AG5" i="6"/>
  <c r="BH5" i="43"/>
  <c r="AN7" i="9" l="1"/>
  <c r="AN10" i="9" s="1"/>
  <c r="BJ5" i="40"/>
  <c r="BJ19" i="3"/>
  <c r="BI19" i="40"/>
  <c r="BI26" i="40" s="1"/>
  <c r="BI12" i="40"/>
  <c r="BJ11" i="12"/>
  <c r="BJ15" i="12"/>
  <c r="AG6" i="6"/>
  <c r="AN17" i="10"/>
  <c r="AN6" i="12"/>
  <c r="AN19" i="12"/>
  <c r="AN8" i="12"/>
  <c r="AO10" i="6"/>
  <c r="AO7" i="10"/>
  <c r="AO12" i="12"/>
  <c r="AP16" i="40"/>
  <c r="AP28" i="40"/>
  <c r="AP9" i="40"/>
  <c r="AH16" i="40"/>
  <c r="AG30" i="40"/>
  <c r="BI5" i="43"/>
  <c r="AN34" i="9" l="1"/>
  <c r="BJ12" i="40"/>
  <c r="BJ19" i="40"/>
  <c r="BJ26" i="40" s="1"/>
  <c r="AP6" i="6"/>
  <c r="AP5" i="6"/>
  <c r="AG10" i="6"/>
  <c r="AG7" i="10"/>
  <c r="AO9" i="9"/>
  <c r="AO11" i="10"/>
  <c r="AO15" i="10" s="1"/>
  <c r="AQ14" i="40"/>
  <c r="AQ7" i="40"/>
  <c r="AP30" i="40"/>
  <c r="AP28" i="2"/>
  <c r="AH9" i="40"/>
  <c r="AH27" i="40"/>
  <c r="AG12" i="12"/>
  <c r="AH5" i="6"/>
  <c r="BJ5" i="43"/>
  <c r="AO7" i="9" l="1"/>
  <c r="AO10" i="9" s="1"/>
  <c r="AH6" i="6"/>
  <c r="AP10" i="6"/>
  <c r="AP7" i="10"/>
  <c r="AO17" i="10"/>
  <c r="AO6" i="12"/>
  <c r="AO19" i="12"/>
  <c r="AO8" i="12"/>
  <c r="AP12" i="12"/>
  <c r="AQ16" i="40"/>
  <c r="AQ9" i="40"/>
  <c r="AQ28" i="40"/>
  <c r="AI16" i="40"/>
  <c r="AH30" i="40"/>
  <c r="AO34" i="9" l="1"/>
  <c r="AQ6" i="6"/>
  <c r="AQ5" i="6"/>
  <c r="AH7" i="10"/>
  <c r="AH10" i="6"/>
  <c r="AP9" i="9"/>
  <c r="AP11" i="10"/>
  <c r="AP15" i="10" s="1"/>
  <c r="AR7" i="40"/>
  <c r="AR14" i="40"/>
  <c r="AQ30" i="40"/>
  <c r="AQ28" i="2"/>
  <c r="AH12" i="12"/>
  <c r="AI9" i="40"/>
  <c r="AI27" i="40"/>
  <c r="AI5" i="6"/>
  <c r="AP7" i="9" l="1"/>
  <c r="AP10" i="9" s="1"/>
  <c r="AI6" i="6"/>
  <c r="AQ7" i="10"/>
  <c r="AQ10" i="6"/>
  <c r="AP17" i="10"/>
  <c r="AP6" i="12"/>
  <c r="AP19" i="12"/>
  <c r="AP8" i="12"/>
  <c r="AQ12" i="12"/>
  <c r="AR9" i="40"/>
  <c r="AR28" i="40"/>
  <c r="AR28" i="2"/>
  <c r="AR16" i="40"/>
  <c r="AJ16" i="40"/>
  <c r="AI30" i="40"/>
  <c r="B8" i="11"/>
  <c r="AP34" i="9" l="1"/>
  <c r="AR6" i="6"/>
  <c r="AR5" i="6"/>
  <c r="AI10" i="6"/>
  <c r="AI7" i="10"/>
  <c r="AQ9" i="9"/>
  <c r="AQ11" i="10"/>
  <c r="AQ15" i="10" s="1"/>
  <c r="AR30" i="40"/>
  <c r="AS7" i="40"/>
  <c r="AS14" i="40"/>
  <c r="AJ9" i="40"/>
  <c r="AJ27" i="40"/>
  <c r="AI12" i="12"/>
  <c r="AJ5" i="6"/>
  <c r="B124" i="2"/>
  <c r="B116" i="2" s="1"/>
  <c r="G61" i="1"/>
  <c r="B61" i="1" s="1"/>
  <c r="B5" i="10"/>
  <c r="B5" i="11" s="1"/>
  <c r="B48" i="10"/>
  <c r="AQ7" i="9" l="1"/>
  <c r="AQ10" i="9" s="1"/>
  <c r="AJ6" i="6"/>
  <c r="AQ17" i="10"/>
  <c r="AQ6" i="12"/>
  <c r="AQ19" i="12"/>
  <c r="AQ8" i="12"/>
  <c r="AR7" i="10"/>
  <c r="AR10" i="6"/>
  <c r="AR12" i="12"/>
  <c r="AS16" i="40"/>
  <c r="AS28" i="2"/>
  <c r="AS9" i="40"/>
  <c r="AS28" i="40"/>
  <c r="AK16" i="40"/>
  <c r="AJ30" i="40"/>
  <c r="B16" i="12"/>
  <c r="B5" i="14" s="1"/>
  <c r="G62" i="1"/>
  <c r="B62" i="1" s="1"/>
  <c r="B18" i="1"/>
  <c r="AC5" i="11"/>
  <c r="U5" i="11"/>
  <c r="M5" i="11"/>
  <c r="E5" i="11"/>
  <c r="V5" i="11"/>
  <c r="F5" i="11"/>
  <c r="AB5" i="11"/>
  <c r="AA5" i="11"/>
  <c r="S5" i="11"/>
  <c r="K5" i="11"/>
  <c r="C5" i="11"/>
  <c r="R5" i="11"/>
  <c r="X5" i="11"/>
  <c r="T5" i="11"/>
  <c r="W5" i="11"/>
  <c r="Z5" i="11"/>
  <c r="H5" i="11"/>
  <c r="Y5" i="11"/>
  <c r="Q5" i="11"/>
  <c r="I5" i="11"/>
  <c r="AD5" i="11"/>
  <c r="N5" i="11"/>
  <c r="P5" i="11"/>
  <c r="L5" i="11"/>
  <c r="O5" i="11"/>
  <c r="G5" i="11"/>
  <c r="J5" i="11"/>
  <c r="D5" i="11"/>
  <c r="B6" i="9"/>
  <c r="B79" i="9"/>
  <c r="AQ34" i="9" l="1"/>
  <c r="AS6" i="6"/>
  <c r="AS5" i="6"/>
  <c r="AJ7" i="10"/>
  <c r="AR9" i="9"/>
  <c r="AR7" i="9" s="1"/>
  <c r="AR34" i="9" s="1"/>
  <c r="AR11" i="10"/>
  <c r="AR15" i="10" s="1"/>
  <c r="AT7" i="40"/>
  <c r="AS30" i="40"/>
  <c r="AT14" i="40"/>
  <c r="AJ12" i="12"/>
  <c r="AK9" i="40"/>
  <c r="AK27" i="40"/>
  <c r="AK5" i="6"/>
  <c r="G63" i="1"/>
  <c r="B63" i="1" s="1"/>
  <c r="B19" i="1"/>
  <c r="AK6" i="6" l="1"/>
  <c r="AR17" i="10"/>
  <c r="AR6" i="12"/>
  <c r="AR19" i="12"/>
  <c r="AR8" i="12"/>
  <c r="AR10" i="9"/>
  <c r="AS7" i="10"/>
  <c r="AS10" i="6"/>
  <c r="AS12" i="12"/>
  <c r="AT9" i="40"/>
  <c r="AT28" i="40"/>
  <c r="AT28" i="2"/>
  <c r="AT16" i="40"/>
  <c r="AL16" i="40"/>
  <c r="AK30" i="40"/>
  <c r="AT6" i="6" l="1"/>
  <c r="AT5" i="6"/>
  <c r="AK10" i="6"/>
  <c r="AK7" i="10"/>
  <c r="AS9" i="9"/>
  <c r="AS7" i="9" s="1"/>
  <c r="AS34" i="9" s="1"/>
  <c r="AS11" i="10"/>
  <c r="AS15" i="10" s="1"/>
  <c r="AU14" i="40"/>
  <c r="AT30" i="40"/>
  <c r="AU7" i="40"/>
  <c r="AJ10" i="6"/>
  <c r="E36" i="6"/>
  <c r="AL9" i="40"/>
  <c r="AL27" i="40"/>
  <c r="AK12" i="12"/>
  <c r="AL5" i="6"/>
  <c r="AL6" i="6" l="1"/>
  <c r="E35" i="6" s="1"/>
  <c r="F52" i="10"/>
  <c r="G52" i="10"/>
  <c r="AS17" i="10"/>
  <c r="AS6" i="12"/>
  <c r="AS19" i="12"/>
  <c r="AS8" i="12"/>
  <c r="AS10" i="9"/>
  <c r="AT7" i="10"/>
  <c r="AT10" i="6"/>
  <c r="E52" i="10"/>
  <c r="AT12" i="12"/>
  <c r="AU16" i="40"/>
  <c r="AU28" i="2"/>
  <c r="AU9" i="40"/>
  <c r="AU28" i="40"/>
  <c r="AL30" i="40"/>
  <c r="AU6" i="6" l="1"/>
  <c r="AU5" i="6"/>
  <c r="AT9" i="9"/>
  <c r="AT7" i="9" s="1"/>
  <c r="AT34" i="9" s="1"/>
  <c r="AT11" i="10"/>
  <c r="AT15" i="10" s="1"/>
  <c r="AL7" i="10"/>
  <c r="E34" i="6"/>
  <c r="AV7" i="40"/>
  <c r="AV14" i="40"/>
  <c r="AU30" i="40"/>
  <c r="AL12" i="12"/>
  <c r="E50" i="10" l="1"/>
  <c r="F50" i="10"/>
  <c r="G50" i="10"/>
  <c r="AU7" i="10"/>
  <c r="AU10" i="6"/>
  <c r="AT17" i="10"/>
  <c r="AT6" i="12"/>
  <c r="AT19" i="12"/>
  <c r="AT8" i="12"/>
  <c r="AT10" i="9"/>
  <c r="AU12" i="12"/>
  <c r="AV28" i="2"/>
  <c r="AV16" i="40"/>
  <c r="AV9" i="40"/>
  <c r="AV28" i="40"/>
  <c r="J22" i="9"/>
  <c r="F6" i="43"/>
  <c r="F22" i="9" s="1"/>
  <c r="G6" i="43"/>
  <c r="G22" i="9" s="1"/>
  <c r="C94" i="9"/>
  <c r="B94" i="9" s="1"/>
  <c r="B21" i="9"/>
  <c r="D6" i="43"/>
  <c r="D22" i="9" s="1"/>
  <c r="E6" i="43"/>
  <c r="E22" i="9" s="1"/>
  <c r="I6" i="43"/>
  <c r="I22" i="9" s="1"/>
  <c r="H6" i="43"/>
  <c r="H22" i="9" s="1"/>
  <c r="AV6" i="6" l="1"/>
  <c r="AV5" i="6"/>
  <c r="AU9" i="9"/>
  <c r="AU7" i="9" s="1"/>
  <c r="AU34" i="9" s="1"/>
  <c r="AU11" i="10"/>
  <c r="AU15" i="10" s="1"/>
  <c r="AW7" i="40"/>
  <c r="AW14" i="40"/>
  <c r="AV30" i="40"/>
  <c r="B6" i="43"/>
  <c r="C97" i="9"/>
  <c r="B97" i="9" s="1"/>
  <c r="B24" i="9"/>
  <c r="AU19" i="12" l="1"/>
  <c r="AU17" i="10"/>
  <c r="AU6" i="12"/>
  <c r="AU8" i="12"/>
  <c r="AU10" i="9"/>
  <c r="AV7" i="10"/>
  <c r="AV10" i="6"/>
  <c r="AV12" i="12"/>
  <c r="AW28" i="2"/>
  <c r="AW16" i="40"/>
  <c r="AW9" i="40"/>
  <c r="AW28" i="40"/>
  <c r="C7" i="43"/>
  <c r="B22" i="9"/>
  <c r="C95" i="9"/>
  <c r="B95" i="9" s="1"/>
  <c r="AW6" i="6" l="1"/>
  <c r="AW5" i="6"/>
  <c r="AV9" i="9"/>
  <c r="AV7" i="9" s="1"/>
  <c r="AV34" i="9" s="1"/>
  <c r="AV11" i="10"/>
  <c r="AV15" i="10" s="1"/>
  <c r="AW30" i="40"/>
  <c r="AX14" i="40"/>
  <c r="F110" i="2" s="1"/>
  <c r="AX7" i="40"/>
  <c r="C9" i="43"/>
  <c r="C10" i="43"/>
  <c r="B7" i="43"/>
  <c r="K10" i="43" s="1"/>
  <c r="AV17" i="10" l="1"/>
  <c r="AV6" i="12"/>
  <c r="AV19" i="12"/>
  <c r="AV8" i="12"/>
  <c r="AV10" i="9"/>
  <c r="AW7" i="10"/>
  <c r="AW10" i="6"/>
  <c r="AW12" i="12"/>
  <c r="AX16" i="40"/>
  <c r="AX28" i="2"/>
  <c r="F112" i="2" s="1"/>
  <c r="AX9" i="40"/>
  <c r="AX28" i="40"/>
  <c r="C11" i="43"/>
  <c r="C8" i="43"/>
  <c r="D9" i="43" s="1"/>
  <c r="AY10" i="43"/>
  <c r="Q10" i="43"/>
  <c r="X10" i="43"/>
  <c r="N10" i="43"/>
  <c r="AB10" i="43"/>
  <c r="BA10" i="43"/>
  <c r="M10" i="43"/>
  <c r="BD10" i="43"/>
  <c r="F10" i="43"/>
  <c r="AN10" i="43"/>
  <c r="AX10" i="43"/>
  <c r="AH10" i="43"/>
  <c r="J10" i="43"/>
  <c r="BG10" i="43"/>
  <c r="AQ10" i="43"/>
  <c r="AW10" i="43"/>
  <c r="R10" i="43"/>
  <c r="AR10" i="43"/>
  <c r="AL10" i="43"/>
  <c r="I10" i="43"/>
  <c r="BI10" i="43"/>
  <c r="O10" i="43"/>
  <c r="G10" i="43"/>
  <c r="W10" i="43"/>
  <c r="Z10" i="43"/>
  <c r="BE10" i="43"/>
  <c r="AS10" i="43"/>
  <c r="AV10" i="43"/>
  <c r="S10" i="43"/>
  <c r="BB10" i="43"/>
  <c r="P10" i="43"/>
  <c r="AE10" i="43"/>
  <c r="BF10" i="43"/>
  <c r="AG10" i="43"/>
  <c r="AF10" i="43"/>
  <c r="AK10" i="43"/>
  <c r="BH10" i="43"/>
  <c r="D10" i="43"/>
  <c r="AJ10" i="43"/>
  <c r="AO10" i="43"/>
  <c r="BJ10" i="43"/>
  <c r="AA10" i="43"/>
  <c r="AI10" i="43"/>
  <c r="H10" i="43"/>
  <c r="AD10" i="43"/>
  <c r="V10" i="43"/>
  <c r="E10" i="43"/>
  <c r="T10" i="43"/>
  <c r="L10" i="43"/>
  <c r="AZ10" i="43"/>
  <c r="AP10" i="43"/>
  <c r="AT10" i="43"/>
  <c r="AU10" i="43"/>
  <c r="AM10" i="43"/>
  <c r="Y10" i="43"/>
  <c r="AC10" i="43"/>
  <c r="BC10" i="43"/>
  <c r="U10" i="43"/>
  <c r="AX6" i="6" l="1"/>
  <c r="AX5" i="6"/>
  <c r="AW9" i="9"/>
  <c r="AW7" i="9" s="1"/>
  <c r="AW34" i="9" s="1"/>
  <c r="AW11" i="10"/>
  <c r="AW15" i="10" s="1"/>
  <c r="AY14" i="40"/>
  <c r="AX30" i="40"/>
  <c r="AY7" i="40"/>
  <c r="D11" i="43"/>
  <c r="D8" i="43"/>
  <c r="E9" i="43" s="1"/>
  <c r="E11" i="43" s="1"/>
  <c r="B10" i="43"/>
  <c r="AW17" i="10" l="1"/>
  <c r="AW6" i="12"/>
  <c r="AW19" i="12"/>
  <c r="AW8" i="12"/>
  <c r="AW10" i="9"/>
  <c r="AX7" i="10"/>
  <c r="AX10" i="6"/>
  <c r="AX12" i="12"/>
  <c r="AY9" i="40"/>
  <c r="AY28" i="40"/>
  <c r="AY16" i="40"/>
  <c r="AY28" i="2"/>
  <c r="E8" i="43"/>
  <c r="F9" i="43" s="1"/>
  <c r="F11" i="43" s="1"/>
  <c r="D100" i="9"/>
  <c r="F100" i="9"/>
  <c r="D26" i="9"/>
  <c r="G100" i="9"/>
  <c r="E100" i="9"/>
  <c r="AY6" i="6" l="1"/>
  <c r="AY5" i="6"/>
  <c r="AX9" i="9"/>
  <c r="AX11" i="10"/>
  <c r="AX15" i="10" s="1"/>
  <c r="AZ7" i="40"/>
  <c r="AZ14" i="40"/>
  <c r="AY30" i="40"/>
  <c r="F8" i="43"/>
  <c r="G9" i="43" s="1"/>
  <c r="G11" i="43" s="1"/>
  <c r="AX7" i="9" l="1"/>
  <c r="AX10" i="9" s="1"/>
  <c r="F83" i="9" s="1"/>
  <c r="F82" i="9"/>
  <c r="AY7" i="10"/>
  <c r="AY10" i="6"/>
  <c r="AX17" i="10"/>
  <c r="AX6" i="12"/>
  <c r="AX19" i="12"/>
  <c r="AX8" i="12"/>
  <c r="AY12" i="12"/>
  <c r="AZ28" i="2"/>
  <c r="AZ16" i="40"/>
  <c r="AZ9" i="40"/>
  <c r="AZ28" i="40"/>
  <c r="G8" i="43"/>
  <c r="H9" i="43" s="1"/>
  <c r="H11" i="43" s="1"/>
  <c r="AX34" i="9" l="1"/>
  <c r="F80" i="9"/>
  <c r="AZ6" i="6"/>
  <c r="AZ5" i="6"/>
  <c r="AY9" i="9"/>
  <c r="AY11" i="10"/>
  <c r="AY15" i="10" s="1"/>
  <c r="BA7" i="40"/>
  <c r="BA14" i="40"/>
  <c r="AZ30" i="40"/>
  <c r="H8" i="43"/>
  <c r="I9" i="43" s="1"/>
  <c r="I11" i="43" s="1"/>
  <c r="F11" i="10"/>
  <c r="F26" i="9"/>
  <c r="E26" i="9"/>
  <c r="AY7" i="9" l="1"/>
  <c r="AY17" i="10"/>
  <c r="AY6" i="12"/>
  <c r="AY19" i="12"/>
  <c r="AY8" i="12"/>
  <c r="AZ7" i="10"/>
  <c r="AZ10" i="6"/>
  <c r="AZ12" i="12"/>
  <c r="BA28" i="2"/>
  <c r="BA16" i="40"/>
  <c r="BA9" i="40"/>
  <c r="BA28" i="40"/>
  <c r="G11" i="10"/>
  <c r="G26" i="9"/>
  <c r="I8" i="43"/>
  <c r="J9" i="43" s="1"/>
  <c r="J11" i="43" s="1"/>
  <c r="AY34" i="9" l="1"/>
  <c r="AY10" i="9"/>
  <c r="BA6" i="6"/>
  <c r="BA5" i="6"/>
  <c r="AZ9" i="9"/>
  <c r="AZ11" i="10"/>
  <c r="AZ15" i="10" s="1"/>
  <c r="BA30" i="40"/>
  <c r="BB14" i="40"/>
  <c r="BB7" i="40"/>
  <c r="J8" i="43"/>
  <c r="K9" i="43" s="1"/>
  <c r="K11" i="43" s="1"/>
  <c r="E11" i="10"/>
  <c r="AZ7" i="9" l="1"/>
  <c r="AZ10" i="9" s="1"/>
  <c r="BA7" i="10"/>
  <c r="BA10" i="6"/>
  <c r="AZ17" i="10"/>
  <c r="AZ6" i="12"/>
  <c r="AZ19" i="12"/>
  <c r="AZ8" i="12"/>
  <c r="BA12" i="12"/>
  <c r="BB28" i="40"/>
  <c r="BB9" i="40"/>
  <c r="BB28" i="2"/>
  <c r="BB16" i="40"/>
  <c r="I11" i="10"/>
  <c r="I26" i="9"/>
  <c r="H26" i="9"/>
  <c r="K8" i="43"/>
  <c r="L9" i="43" s="1"/>
  <c r="L11" i="43" s="1"/>
  <c r="AZ34" i="9" l="1"/>
  <c r="BB6" i="6"/>
  <c r="BB5" i="6"/>
  <c r="BA9" i="9"/>
  <c r="BA11" i="10"/>
  <c r="BA15" i="10" s="1"/>
  <c r="BC14" i="40"/>
  <c r="BB30" i="40"/>
  <c r="BC7" i="40"/>
  <c r="L8" i="43"/>
  <c r="M9" i="43" s="1"/>
  <c r="M11" i="43" s="1"/>
  <c r="J11" i="10"/>
  <c r="J26" i="9"/>
  <c r="H9" i="6"/>
  <c r="BA7" i="9" l="1"/>
  <c r="BA10" i="9" s="1"/>
  <c r="BA17" i="10"/>
  <c r="BA6" i="12"/>
  <c r="BA19" i="12"/>
  <c r="BA8" i="12"/>
  <c r="BB7" i="10"/>
  <c r="BB10" i="6"/>
  <c r="BB12" i="12"/>
  <c r="BC16" i="40"/>
  <c r="BC28" i="2"/>
  <c r="BC28" i="40"/>
  <c r="BC9" i="40"/>
  <c r="H11" i="10"/>
  <c r="M8" i="43"/>
  <c r="N9" i="43" s="1"/>
  <c r="N11" i="43" s="1"/>
  <c r="K26" i="9"/>
  <c r="H10" i="6"/>
  <c r="BA34" i="9" l="1"/>
  <c r="BC6" i="6"/>
  <c r="BC5" i="6"/>
  <c r="BB9" i="9"/>
  <c r="BB11" i="10"/>
  <c r="BB15" i="10" s="1"/>
  <c r="BD7" i="40"/>
  <c r="BD14" i="40"/>
  <c r="BC30" i="40"/>
  <c r="L11" i="10"/>
  <c r="L26" i="9"/>
  <c r="N8" i="43"/>
  <c r="O9" i="43" s="1"/>
  <c r="O11" i="43" s="1"/>
  <c r="BB7" i="9" l="1"/>
  <c r="BB10" i="9" s="1"/>
  <c r="BB17" i="10"/>
  <c r="BB6" i="12"/>
  <c r="BB19" i="12"/>
  <c r="BB8" i="12"/>
  <c r="BC7" i="10"/>
  <c r="BC10" i="6"/>
  <c r="BC12" i="12"/>
  <c r="BD9" i="40"/>
  <c r="BD28" i="40"/>
  <c r="BD28" i="2"/>
  <c r="BD16" i="40"/>
  <c r="M26" i="9"/>
  <c r="O8" i="43"/>
  <c r="P9" i="43" s="1"/>
  <c r="P11" i="43" s="1"/>
  <c r="K11" i="10"/>
  <c r="BB34" i="9" l="1"/>
  <c r="BD6" i="6"/>
  <c r="BD5" i="6"/>
  <c r="BC9" i="9"/>
  <c r="BC11" i="10"/>
  <c r="BC15" i="10" s="1"/>
  <c r="BE7" i="40"/>
  <c r="BE14" i="40"/>
  <c r="BD30" i="40"/>
  <c r="P8" i="43"/>
  <c r="Q9" i="43" s="1"/>
  <c r="Q11" i="43" s="1"/>
  <c r="N26" i="9"/>
  <c r="C101" i="9"/>
  <c r="BC7" i="9" l="1"/>
  <c r="BD7" i="10"/>
  <c r="BD10" i="6"/>
  <c r="BC17" i="10"/>
  <c r="BC6" i="12"/>
  <c r="BC19" i="12"/>
  <c r="BC8" i="12"/>
  <c r="BD12" i="12"/>
  <c r="BE9" i="40"/>
  <c r="BE28" i="40"/>
  <c r="BE28" i="2"/>
  <c r="BE16" i="40"/>
  <c r="M11" i="10"/>
  <c r="N11" i="10"/>
  <c r="Q8" i="43"/>
  <c r="R9" i="43" s="1"/>
  <c r="R11" i="43" s="1"/>
  <c r="C98" i="9"/>
  <c r="BC34" i="9" l="1"/>
  <c r="BC10" i="9"/>
  <c r="BE6" i="6"/>
  <c r="BE5" i="6"/>
  <c r="BD9" i="9"/>
  <c r="BD7" i="9" s="1"/>
  <c r="BD34" i="9" s="1"/>
  <c r="BD11" i="10"/>
  <c r="BD15" i="10" s="1"/>
  <c r="BF7" i="40"/>
  <c r="BF14" i="40"/>
  <c r="BE30" i="40"/>
  <c r="R8" i="43"/>
  <c r="S9" i="43" s="1"/>
  <c r="S11" i="43" s="1"/>
  <c r="O26" i="9"/>
  <c r="P11" i="10"/>
  <c r="P26" i="9"/>
  <c r="C51" i="10"/>
  <c r="BD17" i="10" l="1"/>
  <c r="BD6" i="12"/>
  <c r="BD19" i="12"/>
  <c r="BD8" i="12"/>
  <c r="BD10" i="9"/>
  <c r="BE7" i="10"/>
  <c r="BE10" i="6"/>
  <c r="BE12" i="12"/>
  <c r="BF28" i="40"/>
  <c r="BF9" i="40"/>
  <c r="BF16" i="40"/>
  <c r="BF28" i="2"/>
  <c r="Q11" i="10"/>
  <c r="Q26" i="9"/>
  <c r="S8" i="43"/>
  <c r="T9" i="43" s="1"/>
  <c r="T11" i="43" s="1"/>
  <c r="BF6" i="6" l="1"/>
  <c r="BF5" i="6"/>
  <c r="BE9" i="9"/>
  <c r="BE7" i="9" s="1"/>
  <c r="BE34" i="9" s="1"/>
  <c r="BE11" i="10"/>
  <c r="BE15" i="10" s="1"/>
  <c r="BG14" i="40"/>
  <c r="BG7" i="40"/>
  <c r="BF30" i="40"/>
  <c r="O11" i="10"/>
  <c r="T8" i="43"/>
  <c r="U9" i="43" s="1"/>
  <c r="U11" i="43" s="1"/>
  <c r="R11" i="10"/>
  <c r="R26" i="9"/>
  <c r="BE17" i="10" l="1"/>
  <c r="BE6" i="12"/>
  <c r="BE19" i="12"/>
  <c r="BE8" i="12"/>
  <c r="BE10" i="9"/>
  <c r="BF7" i="10"/>
  <c r="BF10" i="6"/>
  <c r="BF12" i="12"/>
  <c r="BG16" i="40"/>
  <c r="BG28" i="2"/>
  <c r="BG28" i="40"/>
  <c r="BG9" i="40"/>
  <c r="U8" i="43"/>
  <c r="V9" i="43" s="1"/>
  <c r="V11" i="43" s="1"/>
  <c r="S11" i="10"/>
  <c r="S26" i="9"/>
  <c r="BG6" i="6" l="1"/>
  <c r="BG5" i="6"/>
  <c r="BF9" i="9"/>
  <c r="BF7" i="9" s="1"/>
  <c r="BF34" i="9" s="1"/>
  <c r="BF11" i="10"/>
  <c r="BF15" i="10" s="1"/>
  <c r="BH7" i="40"/>
  <c r="BH14" i="40"/>
  <c r="BG30" i="40"/>
  <c r="V8" i="43"/>
  <c r="W9" i="43" s="1"/>
  <c r="W11" i="43" s="1"/>
  <c r="T11" i="10"/>
  <c r="T26" i="9"/>
  <c r="BF17" i="10" l="1"/>
  <c r="BF6" i="12"/>
  <c r="BF19" i="12"/>
  <c r="BF8" i="12"/>
  <c r="BF10" i="9"/>
  <c r="BG7" i="10"/>
  <c r="BG10" i="6"/>
  <c r="BG12" i="12"/>
  <c r="BH9" i="40"/>
  <c r="BH28" i="40"/>
  <c r="BH28" i="2"/>
  <c r="BH16" i="40"/>
  <c r="U26" i="9"/>
  <c r="W8" i="43"/>
  <c r="X9" i="43" s="1"/>
  <c r="X11" i="43" s="1"/>
  <c r="BH6" i="6" l="1"/>
  <c r="BH5" i="6"/>
  <c r="BG9" i="9"/>
  <c r="BG7" i="9" s="1"/>
  <c r="BG34" i="9" s="1"/>
  <c r="BG11" i="10"/>
  <c r="BG15" i="10" s="1"/>
  <c r="BI7" i="40"/>
  <c r="BI14" i="40"/>
  <c r="BH30" i="40"/>
  <c r="X8" i="43"/>
  <c r="Y9" i="43" s="1"/>
  <c r="Y11" i="43" s="1"/>
  <c r="V11" i="10"/>
  <c r="V26" i="9"/>
  <c r="BH7" i="10" l="1"/>
  <c r="BH10" i="6"/>
  <c r="BG17" i="10"/>
  <c r="BG6" i="12"/>
  <c r="BG19" i="12"/>
  <c r="BG8" i="12"/>
  <c r="BG10" i="9"/>
  <c r="BH12" i="12"/>
  <c r="BI9" i="40"/>
  <c r="BI28" i="40"/>
  <c r="BI28" i="2"/>
  <c r="BI16" i="40"/>
  <c r="W11" i="10"/>
  <c r="W26" i="9"/>
  <c r="U11" i="10"/>
  <c r="Y8" i="43"/>
  <c r="Z9" i="43" s="1"/>
  <c r="Z11" i="43" s="1"/>
  <c r="T9" i="6"/>
  <c r="BI6" i="6" l="1"/>
  <c r="BI5" i="6"/>
  <c r="BH9" i="9"/>
  <c r="BH7" i="9" s="1"/>
  <c r="BH34" i="9" s="1"/>
  <c r="BH11" i="10"/>
  <c r="BH15" i="10" s="1"/>
  <c r="BI30" i="40"/>
  <c r="BJ7" i="40"/>
  <c r="BJ14" i="40"/>
  <c r="G110" i="2" s="1"/>
  <c r="X11" i="10"/>
  <c r="X26" i="9"/>
  <c r="Z8" i="43"/>
  <c r="AA9" i="43" s="1"/>
  <c r="AA11" i="43" s="1"/>
  <c r="T10" i="6"/>
  <c r="B110" i="2" l="1"/>
  <c r="B146" i="2" s="1"/>
  <c r="BH17" i="10"/>
  <c r="BH6" i="12"/>
  <c r="BH19" i="12"/>
  <c r="BH8" i="12"/>
  <c r="BH10" i="9"/>
  <c r="BI7" i="10"/>
  <c r="BI10" i="6"/>
  <c r="BI12" i="12"/>
  <c r="BJ16" i="40"/>
  <c r="B14" i="40"/>
  <c r="BJ9" i="40"/>
  <c r="BJ28" i="40"/>
  <c r="BJ30" i="40" s="1"/>
  <c r="AA8" i="43"/>
  <c r="AB9" i="43" s="1"/>
  <c r="AB11" i="43" s="1"/>
  <c r="Y11" i="10"/>
  <c r="Y26" i="9"/>
  <c r="BJ6" i="6" l="1"/>
  <c r="BJ5" i="6"/>
  <c r="BI9" i="9"/>
  <c r="BI7" i="9" s="1"/>
  <c r="BI34" i="9" s="1"/>
  <c r="BI11" i="10"/>
  <c r="BI15" i="10" s="1"/>
  <c r="BJ12" i="12"/>
  <c r="BJ28" i="2"/>
  <c r="G112" i="2" s="1"/>
  <c r="B26" i="2"/>
  <c r="Z26" i="9"/>
  <c r="D101" i="9"/>
  <c r="AB8" i="43"/>
  <c r="AC9" i="43" s="1"/>
  <c r="AC11" i="43" s="1"/>
  <c r="D99" i="9" l="1"/>
  <c r="BI17" i="10"/>
  <c r="BI6" i="12"/>
  <c r="BI19" i="12"/>
  <c r="BI8" i="12"/>
  <c r="BI10" i="9"/>
  <c r="BJ7" i="10"/>
  <c r="BJ10" i="6"/>
  <c r="D98" i="9"/>
  <c r="AC8" i="43"/>
  <c r="AD9" i="43" s="1"/>
  <c r="AD11" i="43" s="1"/>
  <c r="BJ9" i="9" l="1"/>
  <c r="BJ11" i="10"/>
  <c r="BJ15" i="10" s="1"/>
  <c r="AB11" i="10"/>
  <c r="AB26" i="9"/>
  <c r="Z11" i="10"/>
  <c r="D54" i="10" s="1"/>
  <c r="D51" i="10"/>
  <c r="AA26" i="9"/>
  <c r="AD8" i="43"/>
  <c r="AE9" i="43" s="1"/>
  <c r="AE11" i="43" s="1"/>
  <c r="BJ7" i="9" l="1"/>
  <c r="G82" i="9"/>
  <c r="BJ17" i="10"/>
  <c r="BJ6" i="12"/>
  <c r="BJ19" i="12"/>
  <c r="BJ8" i="12"/>
  <c r="AE8" i="43"/>
  <c r="AF9" i="43" s="1"/>
  <c r="AF11" i="43" s="1"/>
  <c r="AC11" i="10"/>
  <c r="AC26" i="9"/>
  <c r="BJ34" i="9" l="1"/>
  <c r="G80" i="9"/>
  <c r="BJ10" i="9"/>
  <c r="G83" i="9" s="1"/>
  <c r="AD11" i="10"/>
  <c r="AD26" i="9"/>
  <c r="AA11" i="10"/>
  <c r="AF8" i="43"/>
  <c r="AG9" i="43" s="1"/>
  <c r="AG11" i="43" s="1"/>
  <c r="AE11" i="10" l="1"/>
  <c r="AE26" i="9"/>
  <c r="AG8" i="43"/>
  <c r="AH9" i="43" s="1"/>
  <c r="AH11" i="43" s="1"/>
  <c r="AH8" i="43" l="1"/>
  <c r="AI9" i="43" s="1"/>
  <c r="AI11" i="43" s="1"/>
  <c r="AF26" i="9"/>
  <c r="AI8" i="43" l="1"/>
  <c r="AJ9" i="43" s="1"/>
  <c r="AJ11" i="43" s="1"/>
  <c r="AG11" i="10"/>
  <c r="AG26" i="9"/>
  <c r="AJ8" i="43" l="1"/>
  <c r="AK9" i="43" s="1"/>
  <c r="AK11" i="43" s="1"/>
  <c r="AH11" i="10"/>
  <c r="AH26" i="9"/>
  <c r="AF11" i="10"/>
  <c r="AK8" i="43" l="1"/>
  <c r="AL9" i="43" s="1"/>
  <c r="AL11" i="43" s="1"/>
  <c r="AI11" i="10"/>
  <c r="AI26" i="9"/>
  <c r="AF9" i="6"/>
  <c r="AJ11" i="10" l="1"/>
  <c r="AJ26" i="9"/>
  <c r="AL8" i="43"/>
  <c r="AM9" i="43" s="1"/>
  <c r="AM11" i="43" s="1"/>
  <c r="AF10" i="6"/>
  <c r="AK11" i="10" l="1"/>
  <c r="AK26" i="9"/>
  <c r="AM8" i="43"/>
  <c r="AN9" i="43" s="1"/>
  <c r="AN11" i="43" s="1"/>
  <c r="AN8" i="43" l="1"/>
  <c r="AO9" i="43" s="1"/>
  <c r="AO11" i="43" s="1"/>
  <c r="AL26" i="9"/>
  <c r="E101" i="9"/>
  <c r="E99" i="9" l="1"/>
  <c r="E98" i="9"/>
  <c r="AO8" i="43"/>
  <c r="AP9" i="43" s="1"/>
  <c r="AP11" i="43" s="1"/>
  <c r="AP8" i="43" l="1"/>
  <c r="AQ9" i="43" s="1"/>
  <c r="AQ11" i="43" s="1"/>
  <c r="AL11" i="10"/>
  <c r="E51" i="10"/>
  <c r="E54" i="10" l="1"/>
  <c r="F54" i="10"/>
  <c r="G54" i="10"/>
  <c r="AQ8" i="43"/>
  <c r="AR9" i="43" s="1"/>
  <c r="AR11" i="43" s="1"/>
  <c r="B16" i="40" l="1"/>
  <c r="AR8" i="43"/>
  <c r="AS9" i="43" s="1"/>
  <c r="AS11" i="43" s="1"/>
  <c r="B12" i="12" l="1"/>
  <c r="B23" i="14" s="1"/>
  <c r="AS8" i="43"/>
  <c r="AT9" i="43" s="1"/>
  <c r="AT11" i="43" s="1"/>
  <c r="B9" i="10" l="1"/>
  <c r="B52" i="10"/>
  <c r="AT8" i="43"/>
  <c r="AU9" i="43" s="1"/>
  <c r="AU11" i="43" s="1"/>
  <c r="B118" i="2" l="1"/>
  <c r="AU8" i="43"/>
  <c r="AV9" i="43" s="1"/>
  <c r="AV11" i="43" s="1"/>
  <c r="AV8" i="43" l="1"/>
  <c r="AW9" i="43" s="1"/>
  <c r="AW11" i="43" s="1"/>
  <c r="AW8" i="43" l="1"/>
  <c r="AX9" i="43" s="1"/>
  <c r="AX11" i="43" s="1"/>
  <c r="AX8" i="43" l="1"/>
  <c r="AY9" i="43" s="1"/>
  <c r="AY11" i="43" s="1"/>
  <c r="AY8" i="43" l="1"/>
  <c r="AZ9" i="43" s="1"/>
  <c r="AZ11" i="43" s="1"/>
  <c r="F99" i="9" l="1"/>
  <c r="F101" i="9"/>
  <c r="AZ8" i="43"/>
  <c r="BA9" i="43" s="1"/>
  <c r="BA11" i="43" s="1"/>
  <c r="BA8" i="43" l="1"/>
  <c r="BB9" i="43" s="1"/>
  <c r="BB11" i="43" s="1"/>
  <c r="F98" i="9"/>
  <c r="BB8" i="43" l="1"/>
  <c r="BC9" i="43" s="1"/>
  <c r="BC11" i="43" s="1"/>
  <c r="BC8" i="43" l="1"/>
  <c r="BD9" i="43" s="1"/>
  <c r="BD11" i="43" s="1"/>
  <c r="BD8" i="43" l="1"/>
  <c r="BE9" i="43" s="1"/>
  <c r="BE11" i="43" s="1"/>
  <c r="BE8" i="43" l="1"/>
  <c r="BF9" i="43" s="1"/>
  <c r="BF11" i="43" s="1"/>
  <c r="BF8" i="43" l="1"/>
  <c r="BG9" i="43" s="1"/>
  <c r="BG11" i="43" s="1"/>
  <c r="BG8" i="43" l="1"/>
  <c r="BH9" i="43" s="1"/>
  <c r="BH11" i="43" s="1"/>
  <c r="BH8" i="43" l="1"/>
  <c r="BI9" i="43" s="1"/>
  <c r="BI11" i="43" s="1"/>
  <c r="BI8" i="43" l="1"/>
  <c r="BJ9" i="43" s="1"/>
  <c r="BJ11" i="43" s="1"/>
  <c r="BJ8" i="43" l="1"/>
  <c r="B11" i="43" l="1"/>
  <c r="B9" i="43" l="1"/>
  <c r="B28" i="9" l="1"/>
  <c r="G101" i="9"/>
  <c r="B101" i="9" s="1"/>
  <c r="B41" i="14" s="1"/>
  <c r="B25" i="9" l="1"/>
  <c r="G98" i="9"/>
  <c r="B98" i="9" s="1"/>
  <c r="B42" i="14" s="1"/>
  <c r="G99" i="9"/>
  <c r="B51" i="10" l="1"/>
  <c r="B14" i="9" l="1"/>
  <c r="B87" i="9"/>
  <c r="C16" i="9"/>
  <c r="B16" i="9" s="1"/>
  <c r="C89" i="9" l="1"/>
  <c r="C17" i="9"/>
  <c r="D17" i="9" s="1"/>
  <c r="E17" i="9" s="1"/>
  <c r="F17" i="9" s="1"/>
  <c r="G17" i="9" s="1"/>
  <c r="H17" i="9" s="1"/>
  <c r="I17" i="9" s="1"/>
  <c r="J17" i="9" s="1"/>
  <c r="K17" i="9" s="1"/>
  <c r="L17" i="9" s="1"/>
  <c r="M17" i="9" s="1"/>
  <c r="N17" i="9" s="1"/>
  <c r="O17" i="9" s="1"/>
  <c r="P17" i="9" s="1"/>
  <c r="Q17" i="9" s="1"/>
  <c r="R17" i="9" s="1"/>
  <c r="S17" i="9" s="1"/>
  <c r="T17" i="9" s="1"/>
  <c r="U17" i="9" s="1"/>
  <c r="V17" i="9" s="1"/>
  <c r="W17" i="9" s="1"/>
  <c r="X17" i="9" s="1"/>
  <c r="Y17" i="9" s="1"/>
  <c r="Z17" i="9" s="1"/>
  <c r="AA17" i="9" s="1"/>
  <c r="AB17" i="9" s="1"/>
  <c r="AC17" i="9" s="1"/>
  <c r="AD17" i="9" s="1"/>
  <c r="AE17" i="9" s="1"/>
  <c r="AF17" i="9" s="1"/>
  <c r="AG17" i="9" s="1"/>
  <c r="AH17" i="9" s="1"/>
  <c r="AI17" i="9" s="1"/>
  <c r="AJ17" i="9" s="1"/>
  <c r="AK17" i="9" s="1"/>
  <c r="AL17" i="9" s="1"/>
  <c r="AM17" i="9" l="1"/>
  <c r="AN17" i="9" s="1"/>
  <c r="AO17" i="9" s="1"/>
  <c r="AP17" i="9" s="1"/>
  <c r="AQ17" i="9" s="1"/>
  <c r="AR17" i="9" s="1"/>
  <c r="AS17" i="9" s="1"/>
  <c r="AT17" i="9" s="1"/>
  <c r="AU17" i="9" s="1"/>
  <c r="AV17" i="9" s="1"/>
  <c r="AW17" i="9" s="1"/>
  <c r="AX17" i="9" s="1"/>
  <c r="AY17" i="9" s="1"/>
  <c r="AZ17" i="9" s="1"/>
  <c r="BA17" i="9" s="1"/>
  <c r="BB17" i="9" s="1"/>
  <c r="BC17" i="9" s="1"/>
  <c r="BD17" i="9" s="1"/>
  <c r="BE17" i="9" s="1"/>
  <c r="BF17" i="9" s="1"/>
  <c r="BG17" i="9" s="1"/>
  <c r="BH17" i="9" s="1"/>
  <c r="BI17" i="9" s="1"/>
  <c r="BJ17" i="9" s="1"/>
  <c r="B17" i="9" s="1"/>
  <c r="B89" i="9"/>
  <c r="C90" i="9"/>
  <c r="D90" i="9" l="1"/>
  <c r="E90" i="9" s="1"/>
  <c r="F90" i="9" s="1"/>
  <c r="G90" i="9" s="1"/>
  <c r="B90" i="9" s="1"/>
  <c r="B57" i="3" l="1"/>
  <c r="F9" i="6"/>
  <c r="AD9" i="6"/>
  <c r="AD10" i="6" s="1"/>
  <c r="R9" i="6"/>
  <c r="R10" i="6" l="1"/>
  <c r="F10" i="6"/>
  <c r="B117" i="2"/>
  <c r="C28" i="2" l="1"/>
  <c r="B147" i="2"/>
  <c r="C6" i="10"/>
  <c r="C112" i="2" l="1"/>
  <c r="B106" i="2"/>
  <c r="B142" i="2" s="1"/>
  <c r="B28" i="2"/>
  <c r="B6" i="10"/>
  <c r="C49" i="10"/>
  <c r="B49" i="10" s="1"/>
  <c r="C17" i="12"/>
  <c r="B17" i="12" s="1"/>
  <c r="B6" i="14" s="1"/>
  <c r="C10" i="10"/>
  <c r="C5" i="6" s="1"/>
  <c r="C8" i="9"/>
  <c r="C81" i="9" s="1"/>
  <c r="B112" i="2" l="1"/>
  <c r="B148" i="2" s="1"/>
  <c r="C6" i="6"/>
  <c r="B5" i="6"/>
  <c r="C53" i="10"/>
  <c r="B53" i="10" s="1"/>
  <c r="B10" i="10"/>
  <c r="C18" i="12"/>
  <c r="B18" i="12" s="1"/>
  <c r="C7" i="12"/>
  <c r="B7" i="12" s="1"/>
  <c r="B19" i="14" s="1"/>
  <c r="B8" i="9"/>
  <c r="B81" i="9"/>
  <c r="C127" i="2" l="1"/>
  <c r="C135" i="2"/>
  <c r="C145" i="2"/>
  <c r="C132" i="2"/>
  <c r="C140" i="2"/>
  <c r="C146" i="2"/>
  <c r="C148" i="2"/>
  <c r="C129" i="2"/>
  <c r="C137" i="2"/>
  <c r="C126" i="2"/>
  <c r="C134" i="2"/>
  <c r="C142" i="2"/>
  <c r="C124" i="2"/>
  <c r="C116" i="2" s="1"/>
  <c r="C147" i="2"/>
  <c r="C131" i="2"/>
  <c r="C141" i="2"/>
  <c r="C128" i="2"/>
  <c r="C136" i="2"/>
  <c r="C144" i="2"/>
  <c r="C125" i="2"/>
  <c r="C133" i="2"/>
  <c r="C117" i="2" s="1"/>
  <c r="C143" i="2"/>
  <c r="C118" i="2" s="1"/>
  <c r="C130" i="2"/>
  <c r="C138" i="2"/>
  <c r="C139" i="2"/>
  <c r="C34" i="6"/>
  <c r="B34" i="6" s="1"/>
  <c r="B7" i="14"/>
  <c r="B42" i="42"/>
  <c r="E119" i="42" s="1"/>
  <c r="D15" i="10" l="1"/>
  <c r="D9" i="9"/>
  <c r="D7" i="9" s="1"/>
  <c r="D34" i="9" s="1"/>
  <c r="C8" i="12"/>
  <c r="D10" i="9" l="1"/>
  <c r="D17" i="10"/>
  <c r="D6" i="12"/>
  <c r="D8" i="12"/>
  <c r="D19" i="12"/>
  <c r="E15" i="10"/>
  <c r="E9" i="9"/>
  <c r="G9" i="6" l="1"/>
  <c r="F15" i="10"/>
  <c r="F9" i="9"/>
  <c r="F7" i="9" s="1"/>
  <c r="F34" i="9" s="1"/>
  <c r="E7" i="9"/>
  <c r="E34" i="9" s="1"/>
  <c r="E19" i="12"/>
  <c r="E8" i="12"/>
  <c r="E17" i="10"/>
  <c r="E6" i="12"/>
  <c r="E10" i="9" l="1"/>
  <c r="F10" i="9"/>
  <c r="G10" i="6"/>
  <c r="F17" i="10"/>
  <c r="F19" i="12"/>
  <c r="F6" i="12"/>
  <c r="F8" i="12"/>
  <c r="G15" i="10"/>
  <c r="G9" i="9"/>
  <c r="G8" i="12" l="1"/>
  <c r="G19" i="12"/>
  <c r="G6" i="12"/>
  <c r="G17" i="10"/>
  <c r="H15" i="10"/>
  <c r="H9" i="9"/>
  <c r="H7" i="9" s="1"/>
  <c r="H34" i="9" s="1"/>
  <c r="G7" i="9"/>
  <c r="G34" i="9" s="1"/>
  <c r="H10" i="9" l="1"/>
  <c r="G10" i="9"/>
  <c r="H6" i="12"/>
  <c r="H17" i="10"/>
  <c r="H8" i="12"/>
  <c r="H19" i="12"/>
  <c r="I15" i="10"/>
  <c r="I9" i="9"/>
  <c r="I8" i="12" l="1"/>
  <c r="I17" i="10"/>
  <c r="I6" i="12"/>
  <c r="I19" i="12"/>
  <c r="J15" i="10"/>
  <c r="J9" i="9"/>
  <c r="J7" i="9" s="1"/>
  <c r="J34" i="9" s="1"/>
  <c r="I7" i="9"/>
  <c r="I34" i="9" s="1"/>
  <c r="J6" i="12" l="1"/>
  <c r="J17" i="10"/>
  <c r="J19" i="12"/>
  <c r="J8" i="12"/>
  <c r="K15" i="10"/>
  <c r="K9" i="9"/>
  <c r="I10" i="9"/>
  <c r="J10" i="9"/>
  <c r="K7" i="9" l="1"/>
  <c r="K34" i="9" s="1"/>
  <c r="L15" i="10"/>
  <c r="L9" i="9"/>
  <c r="L7" i="9" s="1"/>
  <c r="L34" i="9" s="1"/>
  <c r="K6" i="12"/>
  <c r="K17" i="10"/>
  <c r="K19" i="12"/>
  <c r="K8" i="12"/>
  <c r="N9" i="6" l="1"/>
  <c r="C57" i="10"/>
  <c r="K10" i="9"/>
  <c r="L10" i="9"/>
  <c r="M15" i="10"/>
  <c r="M9" i="9"/>
  <c r="M7" i="9" s="1"/>
  <c r="M34" i="9" s="1"/>
  <c r="L19" i="12"/>
  <c r="L6" i="12"/>
  <c r="L17" i="10"/>
  <c r="L8" i="12"/>
  <c r="O9" i="6"/>
  <c r="O10" i="6" s="1"/>
  <c r="F37" i="6" l="1"/>
  <c r="N10" i="6"/>
  <c r="F38" i="6" s="1"/>
  <c r="C37" i="6"/>
  <c r="N15" i="10"/>
  <c r="N9" i="9"/>
  <c r="C56" i="10"/>
  <c r="M10" i="9"/>
  <c r="M19" i="12"/>
  <c r="M8" i="12"/>
  <c r="M17" i="10"/>
  <c r="M6" i="12"/>
  <c r="N7" i="9" l="1"/>
  <c r="N34" i="9" s="1"/>
  <c r="N8" i="12"/>
  <c r="N19" i="12"/>
  <c r="N6" i="12"/>
  <c r="N17" i="10"/>
  <c r="O15" i="10"/>
  <c r="O9" i="9"/>
  <c r="O7" i="9" l="1"/>
  <c r="O19" i="12"/>
  <c r="O17" i="10"/>
  <c r="O6" i="12"/>
  <c r="O8" i="12"/>
  <c r="P15" i="10"/>
  <c r="P9" i="9"/>
  <c r="P7" i="9" s="1"/>
  <c r="P34" i="9" s="1"/>
  <c r="N10" i="9"/>
  <c r="O34" i="9" l="1"/>
  <c r="P10" i="9"/>
  <c r="P17" i="10"/>
  <c r="P19" i="12"/>
  <c r="P6" i="12"/>
  <c r="P8" i="12"/>
  <c r="O10" i="9"/>
  <c r="Q9" i="9"/>
  <c r="Q7" i="9" s="1"/>
  <c r="Q34" i="9" s="1"/>
  <c r="Q15" i="10"/>
  <c r="Q8" i="12" l="1"/>
  <c r="Q19" i="12"/>
  <c r="Q17" i="10"/>
  <c r="Q6" i="12"/>
  <c r="Q10" i="9"/>
  <c r="R15" i="10"/>
  <c r="R9" i="9"/>
  <c r="S9" i="6" l="1"/>
  <c r="S15" i="10"/>
  <c r="S9" i="9"/>
  <c r="S7" i="9" s="1"/>
  <c r="S34" i="9" s="1"/>
  <c r="R7" i="9"/>
  <c r="R19" i="12"/>
  <c r="R6" i="12"/>
  <c r="R8" i="12"/>
  <c r="R17" i="10"/>
  <c r="R34" i="9" l="1"/>
  <c r="S10" i="9"/>
  <c r="T15" i="10"/>
  <c r="T9" i="9"/>
  <c r="T7" i="9" s="1"/>
  <c r="T34" i="9" s="1"/>
  <c r="R10" i="9"/>
  <c r="S17" i="10"/>
  <c r="S8" i="12"/>
  <c r="S19" i="12"/>
  <c r="S6" i="12"/>
  <c r="S10" i="6"/>
  <c r="T10" i="9" l="1"/>
  <c r="T19" i="12"/>
  <c r="T8" i="12"/>
  <c r="T6" i="12"/>
  <c r="T17" i="10"/>
  <c r="U15" i="10"/>
  <c r="U9" i="9"/>
  <c r="U7" i="9" s="1"/>
  <c r="U34" i="9" s="1"/>
  <c r="U10" i="9" l="1"/>
  <c r="U19" i="12"/>
  <c r="U17" i="10"/>
  <c r="U8" i="12"/>
  <c r="U6" i="12"/>
  <c r="V15" i="10"/>
  <c r="V9" i="9"/>
  <c r="V7" i="9" s="1"/>
  <c r="V34" i="9" s="1"/>
  <c r="V19" i="12" l="1"/>
  <c r="V6" i="12"/>
  <c r="V17" i="10"/>
  <c r="V8" i="12"/>
  <c r="V10" i="9"/>
  <c r="W15" i="10"/>
  <c r="W9" i="9"/>
  <c r="W7" i="9" s="1"/>
  <c r="W34" i="9" s="1"/>
  <c r="W8" i="12" l="1"/>
  <c r="W6" i="12"/>
  <c r="W19" i="12"/>
  <c r="W17" i="10"/>
  <c r="X15" i="10"/>
  <c r="X9" i="9"/>
  <c r="X7" i="9" s="1"/>
  <c r="X34" i="9" s="1"/>
  <c r="W10" i="9"/>
  <c r="Z9" i="6" l="1"/>
  <c r="D57" i="10"/>
  <c r="X10" i="9"/>
  <c r="AA9" i="6"/>
  <c r="AA10" i="6" s="1"/>
  <c r="X6" i="12"/>
  <c r="X17" i="10"/>
  <c r="X8" i="12"/>
  <c r="X19" i="12"/>
  <c r="Y15" i="10"/>
  <c r="Y9" i="9"/>
  <c r="Y7" i="9" s="1"/>
  <c r="Y34" i="9" s="1"/>
  <c r="G37" i="6" l="1"/>
  <c r="Z10" i="6"/>
  <c r="D37" i="6"/>
  <c r="Y10" i="9"/>
  <c r="Y17" i="10"/>
  <c r="Y6" i="12"/>
  <c r="Y19" i="12"/>
  <c r="Y8" i="12"/>
  <c r="Z15" i="10"/>
  <c r="Z9" i="9"/>
  <c r="D82" i="9" s="1"/>
  <c r="D56" i="10"/>
  <c r="D38" i="6" l="1"/>
  <c r="G38" i="6"/>
  <c r="Z6" i="12"/>
  <c r="Z19" i="12"/>
  <c r="Z17" i="10"/>
  <c r="Z8" i="12"/>
  <c r="D58" i="10"/>
  <c r="AA15" i="10"/>
  <c r="AA9" i="9"/>
  <c r="Z7" i="9"/>
  <c r="Z34" i="9" l="1"/>
  <c r="D107" i="9" s="1"/>
  <c r="D80" i="9"/>
  <c r="AB15" i="10"/>
  <c r="AB9" i="9"/>
  <c r="AB7" i="9" s="1"/>
  <c r="AB34" i="9" s="1"/>
  <c r="AA6" i="12"/>
  <c r="AA8" i="12"/>
  <c r="AA17" i="10"/>
  <c r="AA19" i="12"/>
  <c r="Z10" i="9"/>
  <c r="D83" i="9" s="1"/>
  <c r="AA7" i="9"/>
  <c r="D60" i="10"/>
  <c r="AA34" i="9" l="1"/>
  <c r="AA10" i="9"/>
  <c r="AB10" i="9"/>
  <c r="AB6" i="12"/>
  <c r="AB19" i="12"/>
  <c r="AB8" i="12"/>
  <c r="AB17" i="10"/>
  <c r="AC15" i="10"/>
  <c r="AC9" i="9"/>
  <c r="AC7" i="9" s="1"/>
  <c r="AC34" i="9" s="1"/>
  <c r="AD15" i="10" l="1"/>
  <c r="AD9" i="9"/>
  <c r="AD7" i="9" s="1"/>
  <c r="AD34" i="9" s="1"/>
  <c r="AC8" i="12"/>
  <c r="AC19" i="12"/>
  <c r="AC6" i="12"/>
  <c r="AC17" i="10"/>
  <c r="AC10" i="9"/>
  <c r="AD19" i="12" l="1"/>
  <c r="AD17" i="10"/>
  <c r="AD6" i="12"/>
  <c r="AD8" i="12"/>
  <c r="AE9" i="6"/>
  <c r="AE15" i="10"/>
  <c r="AE9" i="9"/>
  <c r="AD10" i="9"/>
  <c r="AE17" i="10" l="1"/>
  <c r="AE19" i="12"/>
  <c r="AE6" i="12"/>
  <c r="AE8" i="12"/>
  <c r="AF15" i="10"/>
  <c r="AF9" i="9"/>
  <c r="AF7" i="9" s="1"/>
  <c r="AF34" i="9" s="1"/>
  <c r="AE7" i="9"/>
  <c r="AE10" i="6"/>
  <c r="AE34" i="9" l="1"/>
  <c r="AF17" i="10"/>
  <c r="AF8" i="12"/>
  <c r="AF6" i="12"/>
  <c r="AF19" i="12"/>
  <c r="AE10" i="9"/>
  <c r="AF10" i="9"/>
  <c r="AG15" i="10"/>
  <c r="AG9" i="9"/>
  <c r="AG7" i="9" s="1"/>
  <c r="AG34" i="9" s="1"/>
  <c r="AG8" i="12" l="1"/>
  <c r="AG17" i="10"/>
  <c r="AG19" i="12"/>
  <c r="AG6" i="12"/>
  <c r="AH15" i="10"/>
  <c r="AH9" i="9"/>
  <c r="AH7" i="9" s="1"/>
  <c r="AH34" i="9" s="1"/>
  <c r="AG10" i="9"/>
  <c r="AI15" i="10" l="1"/>
  <c r="AI9" i="9"/>
  <c r="AI7" i="9" s="1"/>
  <c r="AI34" i="9" s="1"/>
  <c r="AH19" i="12"/>
  <c r="AH17" i="10"/>
  <c r="AH8" i="12"/>
  <c r="AH6" i="12"/>
  <c r="AH10" i="9"/>
  <c r="AJ15" i="10" l="1"/>
  <c r="AJ9" i="9"/>
  <c r="AJ7" i="9" s="1"/>
  <c r="AJ34" i="9" s="1"/>
  <c r="AI19" i="12"/>
  <c r="AI8" i="12"/>
  <c r="AI17" i="10"/>
  <c r="AI6" i="12"/>
  <c r="AL9" i="6"/>
  <c r="AI10" i="9"/>
  <c r="E57" i="10" l="1"/>
  <c r="AK15" i="10"/>
  <c r="AK9" i="9"/>
  <c r="AK7" i="9" s="1"/>
  <c r="AK34" i="9" s="1"/>
  <c r="AJ17" i="10"/>
  <c r="AJ19" i="12"/>
  <c r="AJ8" i="12"/>
  <c r="AJ6" i="12"/>
  <c r="AJ10" i="9"/>
  <c r="AL10" i="6" l="1"/>
  <c r="E38" i="6" s="1"/>
  <c r="E37" i="6"/>
  <c r="AK19" i="12"/>
  <c r="AK8" i="12"/>
  <c r="AK6" i="12"/>
  <c r="AK17" i="10"/>
  <c r="AK10" i="9"/>
  <c r="AL15" i="10"/>
  <c r="AL9" i="9"/>
  <c r="E82" i="9" s="1"/>
  <c r="E56" i="10"/>
  <c r="G58" i="10" l="1"/>
  <c r="F58" i="10"/>
  <c r="AL17" i="10"/>
  <c r="AL8" i="12"/>
  <c r="AL19" i="12"/>
  <c r="AL6" i="12"/>
  <c r="E58" i="10"/>
  <c r="AL7" i="9"/>
  <c r="AL34" i="9" l="1"/>
  <c r="E107" i="9" s="1"/>
  <c r="E80" i="9"/>
  <c r="F60" i="10"/>
  <c r="G60" i="10"/>
  <c r="E60" i="10"/>
  <c r="AL10" i="9"/>
  <c r="E83" i="9" s="1"/>
  <c r="B60" i="10" l="1"/>
  <c r="F107" i="9" l="1"/>
  <c r="B56" i="10" l="1"/>
  <c r="B57" i="10"/>
  <c r="B37" i="6" l="1"/>
  <c r="B8" i="12"/>
  <c r="B20" i="14" s="1"/>
  <c r="T8" i="11" l="1"/>
  <c r="AC8" i="11"/>
  <c r="Z8" i="11"/>
  <c r="Q8" i="11"/>
  <c r="V8" i="11"/>
  <c r="O8" i="11"/>
  <c r="S8" i="11"/>
  <c r="J8" i="11"/>
  <c r="G8" i="11"/>
  <c r="W8" i="11"/>
  <c r="D8" i="11"/>
  <c r="P8" i="11"/>
  <c r="N8" i="11"/>
  <c r="K8" i="11"/>
  <c r="AA8" i="11"/>
  <c r="E8" i="11"/>
  <c r="X8" i="11"/>
  <c r="U8" i="11"/>
  <c r="R8" i="11"/>
  <c r="H8" i="11"/>
  <c r="M8" i="11"/>
  <c r="AB8" i="11"/>
  <c r="Y8" i="11"/>
  <c r="I8" i="11"/>
  <c r="C8" i="11"/>
  <c r="AD8" i="11"/>
  <c r="F8" i="11"/>
  <c r="L8" i="11"/>
  <c r="G107" i="9"/>
  <c r="C10" i="6"/>
  <c r="C38" i="6" s="1"/>
  <c r="B38" i="6" s="1"/>
  <c r="C36" i="6"/>
  <c r="B36" i="6" s="1"/>
  <c r="C35" i="6"/>
  <c r="B35" i="6" s="1"/>
  <c r="B6" i="6"/>
  <c r="B10" i="6" s="1"/>
  <c r="C7" i="10"/>
  <c r="C50" i="10" s="1"/>
  <c r="B50" i="10" s="1"/>
  <c r="B7" i="11" l="1"/>
  <c r="B6" i="11" s="1"/>
  <c r="B9" i="11" s="1"/>
  <c r="C9" i="9"/>
  <c r="C11" i="10"/>
  <c r="B7" i="10"/>
  <c r="C82" i="9" l="1"/>
  <c r="B82" i="9" s="1"/>
  <c r="B12" i="11"/>
  <c r="B12" i="14" s="1"/>
  <c r="C7" i="11"/>
  <c r="C6" i="11" s="1"/>
  <c r="C9" i="11" s="1"/>
  <c r="B9" i="9"/>
  <c r="C7" i="9"/>
  <c r="C80" i="9" s="1"/>
  <c r="C54" i="10"/>
  <c r="B11" i="10"/>
  <c r="C12" i="10"/>
  <c r="D12" i="10" s="1"/>
  <c r="E12" i="10" s="1"/>
  <c r="F12" i="10" s="1"/>
  <c r="G12" i="10" s="1"/>
  <c r="H12" i="10" s="1"/>
  <c r="I12" i="10" s="1"/>
  <c r="J12" i="10" s="1"/>
  <c r="K12" i="10" s="1"/>
  <c r="L12" i="10" s="1"/>
  <c r="M12" i="10" s="1"/>
  <c r="N12" i="10" s="1"/>
  <c r="O12" i="10" s="1"/>
  <c r="P12" i="10" s="1"/>
  <c r="Q12" i="10" s="1"/>
  <c r="R12" i="10" s="1"/>
  <c r="S12" i="10" s="1"/>
  <c r="T12" i="10" s="1"/>
  <c r="U12" i="10" s="1"/>
  <c r="V12" i="10" s="1"/>
  <c r="W12" i="10" s="1"/>
  <c r="X12" i="10" s="1"/>
  <c r="Y12" i="10" s="1"/>
  <c r="Z12" i="10" s="1"/>
  <c r="AA12" i="10" s="1"/>
  <c r="AB12" i="10" s="1"/>
  <c r="AC12" i="10" s="1"/>
  <c r="AD12" i="10" s="1"/>
  <c r="AE12" i="10" s="1"/>
  <c r="AF12" i="10" s="1"/>
  <c r="AG12" i="10" s="1"/>
  <c r="AH12" i="10" s="1"/>
  <c r="AI12" i="10" s="1"/>
  <c r="AJ12" i="10" s="1"/>
  <c r="AK12" i="10" s="1"/>
  <c r="AL12" i="10" s="1"/>
  <c r="AM12" i="10" s="1"/>
  <c r="AN12" i="10" s="1"/>
  <c r="AO12" i="10" s="1"/>
  <c r="AP12" i="10" s="1"/>
  <c r="AQ12" i="10" s="1"/>
  <c r="AR12" i="10" s="1"/>
  <c r="AS12" i="10" s="1"/>
  <c r="AT12" i="10" s="1"/>
  <c r="AU12" i="10" s="1"/>
  <c r="AV12" i="10" s="1"/>
  <c r="AW12" i="10" s="1"/>
  <c r="AX12" i="10" s="1"/>
  <c r="AY12" i="10" s="1"/>
  <c r="AZ12" i="10" s="1"/>
  <c r="BA12" i="10" s="1"/>
  <c r="BB12" i="10" s="1"/>
  <c r="BC12" i="10" s="1"/>
  <c r="BD12" i="10" s="1"/>
  <c r="BE12" i="10" s="1"/>
  <c r="BF12" i="10" s="1"/>
  <c r="BG12" i="10" s="1"/>
  <c r="BH12" i="10" s="1"/>
  <c r="BI12" i="10" s="1"/>
  <c r="BJ12" i="10" s="1"/>
  <c r="B12" i="10" s="1"/>
  <c r="C15" i="10"/>
  <c r="B13" i="11" l="1"/>
  <c r="B14" i="11" s="1"/>
  <c r="C10" i="9"/>
  <c r="D7" i="11"/>
  <c r="E7" i="11" s="1"/>
  <c r="B80" i="9"/>
  <c r="B7" i="9"/>
  <c r="C55" i="10"/>
  <c r="D55" i="10" s="1"/>
  <c r="E55" i="10" s="1"/>
  <c r="B54" i="10"/>
  <c r="C17" i="10"/>
  <c r="C6" i="12"/>
  <c r="B6" i="12" s="1"/>
  <c r="B18" i="14" s="1"/>
  <c r="C58" i="10"/>
  <c r="C16" i="10"/>
  <c r="D16" i="10" s="1"/>
  <c r="E16" i="10" s="1"/>
  <c r="F16" i="10" s="1"/>
  <c r="G16" i="10" s="1"/>
  <c r="H16" i="10" s="1"/>
  <c r="I16" i="10" s="1"/>
  <c r="J16" i="10" s="1"/>
  <c r="K16" i="10" s="1"/>
  <c r="L16" i="10" s="1"/>
  <c r="M16" i="10" s="1"/>
  <c r="N16" i="10" s="1"/>
  <c r="O16" i="10" s="1"/>
  <c r="P16" i="10" s="1"/>
  <c r="Q16" i="10" s="1"/>
  <c r="R16" i="10" s="1"/>
  <c r="S16" i="10" s="1"/>
  <c r="T16" i="10" s="1"/>
  <c r="U16" i="10" s="1"/>
  <c r="V16" i="10" s="1"/>
  <c r="W16" i="10" s="1"/>
  <c r="X16" i="10" s="1"/>
  <c r="Y16" i="10" s="1"/>
  <c r="Z16" i="10" s="1"/>
  <c r="AA16" i="10" s="1"/>
  <c r="AB16" i="10" s="1"/>
  <c r="AC16" i="10" s="1"/>
  <c r="AD16" i="10" s="1"/>
  <c r="AE16" i="10" s="1"/>
  <c r="AF16" i="10" s="1"/>
  <c r="AG16" i="10" s="1"/>
  <c r="AH16" i="10" s="1"/>
  <c r="AI16" i="10" s="1"/>
  <c r="AJ16" i="10" s="1"/>
  <c r="AK16" i="10" s="1"/>
  <c r="AL16" i="10" s="1"/>
  <c r="AM16" i="10" s="1"/>
  <c r="AN16" i="10" s="1"/>
  <c r="AO16" i="10" s="1"/>
  <c r="AP16" i="10" s="1"/>
  <c r="AQ16" i="10" s="1"/>
  <c r="AR16" i="10" s="1"/>
  <c r="AS16" i="10" s="1"/>
  <c r="AT16" i="10" s="1"/>
  <c r="AU16" i="10" s="1"/>
  <c r="AV16" i="10" s="1"/>
  <c r="AW16" i="10" s="1"/>
  <c r="AX16" i="10" s="1"/>
  <c r="AY16" i="10" s="1"/>
  <c r="AZ16" i="10" s="1"/>
  <c r="BA16" i="10" s="1"/>
  <c r="BB16" i="10" s="1"/>
  <c r="BC16" i="10" s="1"/>
  <c r="BD16" i="10" s="1"/>
  <c r="BE16" i="10" s="1"/>
  <c r="BF16" i="10" s="1"/>
  <c r="BG16" i="10" s="1"/>
  <c r="BH16" i="10" s="1"/>
  <c r="BI16" i="10" s="1"/>
  <c r="BJ16" i="10" s="1"/>
  <c r="B16" i="10" s="1"/>
  <c r="B15" i="10"/>
  <c r="C19" i="12"/>
  <c r="B19" i="12" s="1"/>
  <c r="B13" i="14" l="1"/>
  <c r="B14" i="14"/>
  <c r="B10" i="9"/>
  <c r="C83" i="9"/>
  <c r="C84" i="9" s="1"/>
  <c r="D84" i="9" s="1"/>
  <c r="E84" i="9" s="1"/>
  <c r="F84" i="9" s="1"/>
  <c r="G84" i="9" s="1"/>
  <c r="D6" i="11"/>
  <c r="D9" i="11" s="1"/>
  <c r="B15" i="11" s="1"/>
  <c r="B15" i="14" s="1"/>
  <c r="C11" i="9"/>
  <c r="D11" i="9" s="1"/>
  <c r="E11" i="9" s="1"/>
  <c r="F11" i="9" s="1"/>
  <c r="G11" i="9" s="1"/>
  <c r="H11" i="9" s="1"/>
  <c r="I11" i="9" s="1"/>
  <c r="J11" i="9" s="1"/>
  <c r="K11" i="9" s="1"/>
  <c r="L11" i="9" s="1"/>
  <c r="M11" i="9" s="1"/>
  <c r="N11" i="9" s="1"/>
  <c r="O11" i="9" s="1"/>
  <c r="P11" i="9" s="1"/>
  <c r="Q11" i="9" s="1"/>
  <c r="R11" i="9" s="1"/>
  <c r="S11" i="9" s="1"/>
  <c r="T11" i="9" s="1"/>
  <c r="U11" i="9" s="1"/>
  <c r="V11" i="9" s="1"/>
  <c r="W11" i="9" s="1"/>
  <c r="X11" i="9" s="1"/>
  <c r="Y11" i="9" s="1"/>
  <c r="Z11" i="9" s="1"/>
  <c r="AA11" i="9" s="1"/>
  <c r="AB11" i="9" s="1"/>
  <c r="AC11" i="9" s="1"/>
  <c r="AD11" i="9" s="1"/>
  <c r="AE11" i="9" s="1"/>
  <c r="AF11" i="9" s="1"/>
  <c r="AG11" i="9" s="1"/>
  <c r="AH11" i="9" s="1"/>
  <c r="AI11" i="9" s="1"/>
  <c r="AJ11" i="9" s="1"/>
  <c r="AK11" i="9" s="1"/>
  <c r="AL11" i="9" s="1"/>
  <c r="AM11" i="9" s="1"/>
  <c r="AN11" i="9" s="1"/>
  <c r="AO11" i="9" s="1"/>
  <c r="AP11" i="9" s="1"/>
  <c r="AQ11" i="9" s="1"/>
  <c r="AR11" i="9" s="1"/>
  <c r="AS11" i="9" s="1"/>
  <c r="AT11" i="9" s="1"/>
  <c r="AU11" i="9" s="1"/>
  <c r="AV11" i="9" s="1"/>
  <c r="AW11" i="9" s="1"/>
  <c r="AX11" i="9" s="1"/>
  <c r="AY11" i="9" s="1"/>
  <c r="AZ11" i="9" s="1"/>
  <c r="BA11" i="9" s="1"/>
  <c r="BB11" i="9" s="1"/>
  <c r="BC11" i="9" s="1"/>
  <c r="BD11" i="9" s="1"/>
  <c r="BE11" i="9" s="1"/>
  <c r="BF11" i="9" s="1"/>
  <c r="BG11" i="9" s="1"/>
  <c r="BH11" i="9" s="1"/>
  <c r="BI11" i="9" s="1"/>
  <c r="BJ11" i="9" s="1"/>
  <c r="B11" i="9" s="1"/>
  <c r="B55" i="10"/>
  <c r="F55" i="10"/>
  <c r="G55" i="10" s="1"/>
  <c r="F7" i="11"/>
  <c r="E6" i="11"/>
  <c r="E9" i="11" s="1"/>
  <c r="C18" i="10"/>
  <c r="D18" i="10" s="1"/>
  <c r="E18" i="10" s="1"/>
  <c r="F18" i="10" s="1"/>
  <c r="G18" i="10" s="1"/>
  <c r="H18" i="10" s="1"/>
  <c r="I18" i="10" s="1"/>
  <c r="J18" i="10" s="1"/>
  <c r="K18" i="10" s="1"/>
  <c r="L18" i="10" s="1"/>
  <c r="M18" i="10" s="1"/>
  <c r="N18" i="10" s="1"/>
  <c r="O18" i="10" s="1"/>
  <c r="P18" i="10" s="1"/>
  <c r="Q18" i="10" s="1"/>
  <c r="R18" i="10" s="1"/>
  <c r="S18" i="10" s="1"/>
  <c r="T18" i="10" s="1"/>
  <c r="U18" i="10" s="1"/>
  <c r="V18" i="10" s="1"/>
  <c r="W18" i="10" s="1"/>
  <c r="X18" i="10" s="1"/>
  <c r="Y18" i="10" s="1"/>
  <c r="Z18" i="10" s="1"/>
  <c r="AA18" i="10" s="1"/>
  <c r="AB18" i="10" s="1"/>
  <c r="AC18" i="10" s="1"/>
  <c r="AD18" i="10" s="1"/>
  <c r="AE18" i="10" s="1"/>
  <c r="AF18" i="10" s="1"/>
  <c r="AG18" i="10" s="1"/>
  <c r="AH18" i="10" s="1"/>
  <c r="AI18" i="10" s="1"/>
  <c r="AJ18" i="10" s="1"/>
  <c r="AK18" i="10" s="1"/>
  <c r="AL18" i="10" s="1"/>
  <c r="AM18" i="10" s="1"/>
  <c r="AN18" i="10" s="1"/>
  <c r="AO18" i="10" s="1"/>
  <c r="AP18" i="10" s="1"/>
  <c r="AQ18" i="10" s="1"/>
  <c r="AR18" i="10" s="1"/>
  <c r="AS18" i="10" s="1"/>
  <c r="AT18" i="10" s="1"/>
  <c r="AU18" i="10" s="1"/>
  <c r="AV18" i="10" s="1"/>
  <c r="AW18" i="10" s="1"/>
  <c r="AX18" i="10" s="1"/>
  <c r="AY18" i="10" s="1"/>
  <c r="AZ18" i="10" s="1"/>
  <c r="BA18" i="10" s="1"/>
  <c r="BB18" i="10" s="1"/>
  <c r="BC18" i="10" s="1"/>
  <c r="BD18" i="10" s="1"/>
  <c r="BE18" i="10" s="1"/>
  <c r="BF18" i="10" s="1"/>
  <c r="BG18" i="10" s="1"/>
  <c r="BH18" i="10" s="1"/>
  <c r="BI18" i="10" s="1"/>
  <c r="BJ18" i="10" s="1"/>
  <c r="B18" i="10" s="1"/>
  <c r="B17" i="10"/>
  <c r="B8" i="14"/>
  <c r="B59" i="42"/>
  <c r="F119" i="42" s="1"/>
  <c r="C60" i="10"/>
  <c r="C61" i="10" s="1"/>
  <c r="D61" i="10" s="1"/>
  <c r="E61" i="10" s="1"/>
  <c r="B58" i="10"/>
  <c r="C59" i="10"/>
  <c r="D59" i="10" s="1"/>
  <c r="E59" i="10" s="1"/>
  <c r="B59" i="10" l="1"/>
  <c r="F59" i="10"/>
  <c r="G59" i="10" s="1"/>
  <c r="B61" i="10"/>
  <c r="F61" i="10"/>
  <c r="G61" i="10" s="1"/>
  <c r="B83" i="9"/>
  <c r="B84" i="9"/>
  <c r="F6" i="11"/>
  <c r="F9" i="11" s="1"/>
  <c r="G7" i="11"/>
  <c r="H7" i="11" l="1"/>
  <c r="G6" i="11"/>
  <c r="G9" i="11" s="1"/>
  <c r="I7" i="11" l="1"/>
  <c r="H6" i="11"/>
  <c r="H9" i="11" s="1"/>
  <c r="I6" i="11" l="1"/>
  <c r="I9" i="11" s="1"/>
  <c r="J7" i="11"/>
  <c r="K7" i="11" l="1"/>
  <c r="J6" i="11"/>
  <c r="J9" i="11" s="1"/>
  <c r="K6" i="11" l="1"/>
  <c r="K9" i="11" s="1"/>
  <c r="L7" i="11"/>
  <c r="M7" i="11" l="1"/>
  <c r="L6" i="11"/>
  <c r="L9" i="11" s="1"/>
  <c r="M6" i="11" l="1"/>
  <c r="M9" i="11" s="1"/>
  <c r="N7" i="11"/>
  <c r="N6" i="11" l="1"/>
  <c r="N9" i="11" s="1"/>
  <c r="O7" i="11"/>
  <c r="O6" i="11" l="1"/>
  <c r="O9" i="11" s="1"/>
  <c r="P7" i="11"/>
  <c r="Q7" i="11" l="1"/>
  <c r="P6" i="11"/>
  <c r="P9" i="11" s="1"/>
  <c r="Q6" i="11" l="1"/>
  <c r="Q9" i="11" s="1"/>
  <c r="R7" i="11"/>
  <c r="R6" i="11" l="1"/>
  <c r="R9" i="11" s="1"/>
  <c r="S7" i="11"/>
  <c r="S6" i="11" l="1"/>
  <c r="S9" i="11" s="1"/>
  <c r="T7" i="11"/>
  <c r="T6" i="11" l="1"/>
  <c r="T9" i="11" s="1"/>
  <c r="U7" i="11"/>
  <c r="U6" i="11" l="1"/>
  <c r="U9" i="11" s="1"/>
  <c r="V7" i="11"/>
  <c r="V6" i="11" l="1"/>
  <c r="V9" i="11" s="1"/>
  <c r="W7" i="11"/>
  <c r="W6" i="11" l="1"/>
  <c r="W9" i="11" s="1"/>
  <c r="X7" i="11"/>
  <c r="X6" i="11" l="1"/>
  <c r="X9" i="11" s="1"/>
  <c r="Y7" i="11"/>
  <c r="Y6" i="11" l="1"/>
  <c r="Y9" i="11" s="1"/>
  <c r="Z7" i="11"/>
  <c r="Z6" i="11" l="1"/>
  <c r="Z9" i="11" s="1"/>
  <c r="AA7" i="11"/>
  <c r="AB7" i="11" l="1"/>
  <c r="AA6" i="11"/>
  <c r="AA9" i="11" s="1"/>
  <c r="AB6" i="11" l="1"/>
  <c r="AB9" i="11" s="1"/>
  <c r="AC7" i="11"/>
  <c r="AD7" i="11" l="1"/>
  <c r="AD6" i="11" s="1"/>
  <c r="AD9" i="11" s="1"/>
  <c r="AC6" i="11"/>
  <c r="AC9" i="11" s="1"/>
  <c r="C100" i="9" l="1"/>
  <c r="B100" i="9" s="1"/>
  <c r="B27" i="9"/>
  <c r="C26" i="9"/>
  <c r="C34" i="9" s="1"/>
  <c r="C23" i="9" l="1"/>
  <c r="C20" i="9" s="1"/>
  <c r="B26" i="9"/>
  <c r="C99" i="9"/>
  <c r="B99" i="9" s="1"/>
  <c r="C14" i="3" l="1"/>
  <c r="C11" i="3" s="1"/>
  <c r="C29" i="9"/>
  <c r="C30" i="9" s="1"/>
  <c r="C33" i="9"/>
  <c r="C107" i="9"/>
  <c r="B107" i="9" s="1"/>
  <c r="B34" i="9"/>
  <c r="C35" i="9" l="1"/>
  <c r="D32" i="9" s="1"/>
  <c r="C37" i="9"/>
  <c r="C38" i="9" s="1"/>
  <c r="C6" i="13"/>
  <c r="C15" i="3"/>
  <c r="C14" i="13" l="1"/>
  <c r="C8" i="13"/>
  <c r="C20" i="12"/>
  <c r="C20" i="3"/>
  <c r="C7" i="13"/>
  <c r="D23" i="9"/>
  <c r="C15" i="13" l="1"/>
  <c r="C16" i="13"/>
  <c r="D20" i="9"/>
  <c r="D14" i="3"/>
  <c r="C9" i="13"/>
  <c r="D33" i="9" l="1"/>
  <c r="D29" i="9"/>
  <c r="D30" i="9" s="1"/>
  <c r="C17" i="13"/>
  <c r="D11" i="3"/>
  <c r="D37" i="9" l="1"/>
  <c r="D38" i="9" s="1"/>
  <c r="D35" i="9"/>
  <c r="E32" i="9" s="1"/>
  <c r="D6" i="13"/>
  <c r="D15" i="3"/>
  <c r="D7" i="13" l="1"/>
  <c r="D20" i="3"/>
  <c r="D20" i="12"/>
  <c r="E23" i="9"/>
  <c r="D14" i="13"/>
  <c r="D8" i="13"/>
  <c r="D9" i="13" l="1"/>
  <c r="D16" i="13"/>
  <c r="E14" i="3"/>
  <c r="E20" i="9"/>
  <c r="D15" i="13"/>
  <c r="E29" i="9" l="1"/>
  <c r="E30" i="9" s="1"/>
  <c r="E33" i="9"/>
  <c r="E11" i="3"/>
  <c r="D17" i="13"/>
  <c r="E37" i="9" l="1"/>
  <c r="E38" i="9" s="1"/>
  <c r="E35" i="9"/>
  <c r="F32" i="9" s="1"/>
  <c r="E15" i="3"/>
  <c r="E6" i="13"/>
  <c r="F23" i="9" l="1"/>
  <c r="E20" i="12"/>
  <c r="E14" i="13"/>
  <c r="E8" i="13"/>
  <c r="E7" i="13"/>
  <c r="E20" i="3"/>
  <c r="E15" i="13" l="1"/>
  <c r="E9" i="13"/>
  <c r="E16" i="13"/>
  <c r="F20" i="9"/>
  <c r="F14" i="3"/>
  <c r="F33" i="9" l="1"/>
  <c r="F29" i="9"/>
  <c r="F30" i="9" s="1"/>
  <c r="E17" i="13"/>
  <c r="F11" i="3"/>
  <c r="F37" i="9" l="1"/>
  <c r="F38" i="9" s="1"/>
  <c r="F35" i="9"/>
  <c r="G32" i="9" s="1"/>
  <c r="F6" i="13"/>
  <c r="F15" i="3"/>
  <c r="F14" i="13" l="1"/>
  <c r="F8" i="13"/>
  <c r="G23" i="9"/>
  <c r="F7" i="13"/>
  <c r="F20" i="3"/>
  <c r="F20" i="12"/>
  <c r="F15" i="13" l="1"/>
  <c r="G20" i="9"/>
  <c r="G14" i="3"/>
  <c r="F9" i="13"/>
  <c r="F16" i="13"/>
  <c r="G29" i="9" l="1"/>
  <c r="G30" i="9" s="1"/>
  <c r="G33" i="9"/>
  <c r="G11" i="3"/>
  <c r="F17" i="13"/>
  <c r="G37" i="9" l="1"/>
  <c r="G38" i="9" s="1"/>
  <c r="G35" i="9"/>
  <c r="H32" i="9" s="1"/>
  <c r="G15" i="3"/>
  <c r="G6" i="13"/>
  <c r="H23" i="9" l="1"/>
  <c r="G14" i="13"/>
  <c r="G8" i="13"/>
  <c r="G20" i="12"/>
  <c r="G7" i="13"/>
  <c r="G20" i="3"/>
  <c r="G15" i="13" l="1"/>
  <c r="G9" i="13"/>
  <c r="G16" i="13"/>
  <c r="H20" i="9"/>
  <c r="H14" i="3"/>
  <c r="H11" i="3" s="1"/>
  <c r="H15" i="3" s="1"/>
  <c r="H7" i="13" s="1"/>
  <c r="H15" i="13" s="1"/>
  <c r="H33" i="9" l="1"/>
  <c r="H29" i="9"/>
  <c r="H30" i="9" s="1"/>
  <c r="H20" i="3"/>
  <c r="G17" i="13"/>
  <c r="H37" i="9" l="1"/>
  <c r="H38" i="9" s="1"/>
  <c r="H35" i="9"/>
  <c r="I32" i="9" s="1"/>
  <c r="H6" i="13"/>
  <c r="I23" i="9" l="1"/>
  <c r="H20" i="12"/>
  <c r="H14" i="13"/>
  <c r="H16" i="13" s="1"/>
  <c r="H8" i="13"/>
  <c r="H9" i="13" l="1"/>
  <c r="I14" i="3"/>
  <c r="I11" i="3" s="1"/>
  <c r="I15" i="3" s="1"/>
  <c r="I20" i="9"/>
  <c r="H17" i="13"/>
  <c r="I29" i="9" l="1"/>
  <c r="I30" i="9" s="1"/>
  <c r="I33" i="9"/>
  <c r="I7" i="13"/>
  <c r="I15" i="13" s="1"/>
  <c r="I20" i="3"/>
  <c r="I37" i="9" l="1"/>
  <c r="I38" i="9" s="1"/>
  <c r="I35" i="9"/>
  <c r="J32" i="9" s="1"/>
  <c r="I6" i="13"/>
  <c r="I14" i="13" l="1"/>
  <c r="I16" i="13" s="1"/>
  <c r="I8" i="13"/>
  <c r="I20" i="12"/>
  <c r="J23" i="9"/>
  <c r="I9" i="13" l="1"/>
  <c r="J14" i="3"/>
  <c r="J11" i="3" s="1"/>
  <c r="J15" i="3" s="1"/>
  <c r="J20" i="9"/>
  <c r="I17" i="13"/>
  <c r="J29" i="9" l="1"/>
  <c r="J30" i="9" s="1"/>
  <c r="J33" i="9"/>
  <c r="J7" i="13"/>
  <c r="J15" i="13" s="1"/>
  <c r="J20" i="3"/>
  <c r="J37" i="9" l="1"/>
  <c r="J38" i="9" s="1"/>
  <c r="J35" i="9"/>
  <c r="K32" i="9" s="1"/>
  <c r="J6" i="13"/>
  <c r="J14" i="13" l="1"/>
  <c r="J16" i="13" s="1"/>
  <c r="J8" i="13"/>
  <c r="J20" i="12"/>
  <c r="K23" i="9"/>
  <c r="K20" i="9" l="1"/>
  <c r="K14" i="3"/>
  <c r="K11" i="3" s="1"/>
  <c r="K15" i="3" s="1"/>
  <c r="J9" i="13"/>
  <c r="J17" i="13"/>
  <c r="K29" i="9" l="1"/>
  <c r="K30" i="9" s="1"/>
  <c r="K33" i="9"/>
  <c r="K7" i="13"/>
  <c r="K15" i="13" s="1"/>
  <c r="K20" i="3"/>
  <c r="K37" i="9" l="1"/>
  <c r="K38" i="9" s="1"/>
  <c r="K35" i="9"/>
  <c r="L32" i="9" s="1"/>
  <c r="K6" i="13"/>
  <c r="K14" i="13" l="1"/>
  <c r="K16" i="13" s="1"/>
  <c r="K8" i="13"/>
  <c r="K20" i="12"/>
  <c r="L23" i="9"/>
  <c r="K9" i="13" l="1"/>
  <c r="L20" i="9"/>
  <c r="L14" i="3"/>
  <c r="L11" i="3" s="1"/>
  <c r="L15" i="3" s="1"/>
  <c r="K17" i="13"/>
  <c r="L33" i="9" l="1"/>
  <c r="L29" i="9"/>
  <c r="L30" i="9" s="1"/>
  <c r="L7" i="13"/>
  <c r="L15" i="13" s="1"/>
  <c r="L20" i="3"/>
  <c r="L37" i="9" l="1"/>
  <c r="L38" i="9" s="1"/>
  <c r="L35" i="9"/>
  <c r="M32" i="9" s="1"/>
  <c r="L6" i="13"/>
  <c r="L14" i="13" l="1"/>
  <c r="L16" i="13" s="1"/>
  <c r="L8" i="13"/>
  <c r="M23" i="9"/>
  <c r="L20" i="12"/>
  <c r="L9" i="13" l="1"/>
  <c r="L17" i="13"/>
  <c r="M14" i="3"/>
  <c r="M11" i="3" s="1"/>
  <c r="M15" i="3" s="1"/>
  <c r="M20" i="9"/>
  <c r="M33" i="9" l="1"/>
  <c r="M29" i="9"/>
  <c r="M30" i="9" s="1"/>
  <c r="M7" i="13"/>
  <c r="M15" i="13" s="1"/>
  <c r="M20" i="3"/>
  <c r="M37" i="9" l="1"/>
  <c r="M38" i="9" s="1"/>
  <c r="M35" i="9"/>
  <c r="N32" i="9" s="1"/>
  <c r="M6" i="13"/>
  <c r="M14" i="13" l="1"/>
  <c r="M16" i="13" s="1"/>
  <c r="M8" i="13"/>
  <c r="N23" i="9"/>
  <c r="M20" i="12"/>
  <c r="M9" i="13" l="1"/>
  <c r="M17" i="13"/>
  <c r="N14" i="3"/>
  <c r="N20" i="9"/>
  <c r="C96" i="9"/>
  <c r="N29" i="9" l="1"/>
  <c r="N30" i="9" s="1"/>
  <c r="N33" i="9"/>
  <c r="C93" i="9"/>
  <c r="N11" i="3"/>
  <c r="C52" i="3"/>
  <c r="N37" i="9" l="1"/>
  <c r="N38" i="9" s="1"/>
  <c r="N35" i="9"/>
  <c r="O32" i="9" s="1"/>
  <c r="N15" i="3"/>
  <c r="C49" i="3"/>
  <c r="C102" i="9"/>
  <c r="N6" i="13"/>
  <c r="C64" i="13" s="1"/>
  <c r="C106" i="9"/>
  <c r="C108" i="9" l="1"/>
  <c r="D105" i="9" s="1"/>
  <c r="C110" i="9"/>
  <c r="C103" i="9"/>
  <c r="N14" i="13"/>
  <c r="N16" i="13" s="1"/>
  <c r="N8" i="13"/>
  <c r="N20" i="12"/>
  <c r="O23" i="9"/>
  <c r="N7" i="13"/>
  <c r="N15" i="13" s="1"/>
  <c r="C53" i="3"/>
  <c r="N20" i="3"/>
  <c r="O20" i="9" l="1"/>
  <c r="O14" i="3"/>
  <c r="N9" i="13"/>
  <c r="C111" i="9"/>
  <c r="C57" i="3"/>
  <c r="N17" i="13"/>
  <c r="O29" i="9" l="1"/>
  <c r="O30" i="9" s="1"/>
  <c r="O33" i="9"/>
  <c r="O11" i="3"/>
  <c r="O37" i="9" l="1"/>
  <c r="O38" i="9" s="1"/>
  <c r="O35" i="9"/>
  <c r="P32" i="9" s="1"/>
  <c r="O15" i="3"/>
  <c r="O6" i="13"/>
  <c r="P23" i="9" l="1"/>
  <c r="O20" i="12"/>
  <c r="O7" i="13"/>
  <c r="O15" i="13" s="1"/>
  <c r="O20" i="3"/>
  <c r="O14" i="13"/>
  <c r="O16" i="13" s="1"/>
  <c r="O8" i="13"/>
  <c r="O17" i="13" l="1"/>
  <c r="P14" i="3"/>
  <c r="P20" i="9"/>
  <c r="O9" i="13"/>
  <c r="P33" i="9" l="1"/>
  <c r="P29" i="9"/>
  <c r="P30" i="9" s="1"/>
  <c r="P11" i="3"/>
  <c r="P37" i="9" l="1"/>
  <c r="P38" i="9" s="1"/>
  <c r="P35" i="9"/>
  <c r="Q32" i="9" s="1"/>
  <c r="P15" i="3"/>
  <c r="P6" i="13"/>
  <c r="Q23" i="9" l="1"/>
  <c r="P7" i="13"/>
  <c r="P15" i="13" s="1"/>
  <c r="P20" i="3"/>
  <c r="P20" i="12"/>
  <c r="P14" i="13"/>
  <c r="P16" i="13" s="1"/>
  <c r="P8" i="13"/>
  <c r="P9" i="13" l="1"/>
  <c r="Q20" i="9"/>
  <c r="Q14" i="3"/>
  <c r="P17" i="13"/>
  <c r="Q33" i="9" l="1"/>
  <c r="Q29" i="9"/>
  <c r="Q30" i="9" s="1"/>
  <c r="Q11" i="3"/>
  <c r="Q37" i="9" l="1"/>
  <c r="Q38" i="9" s="1"/>
  <c r="Q35" i="9"/>
  <c r="R32" i="9" s="1"/>
  <c r="Q15" i="3"/>
  <c r="Q6" i="13"/>
  <c r="Q14" i="13" l="1"/>
  <c r="Q16" i="13" s="1"/>
  <c r="Q8" i="13"/>
  <c r="Q20" i="12"/>
  <c r="Q7" i="13"/>
  <c r="Q15" i="13" s="1"/>
  <c r="Q20" i="3"/>
  <c r="R23" i="9"/>
  <c r="R14" i="3" l="1"/>
  <c r="R20" i="9"/>
  <c r="Q17" i="13"/>
  <c r="Q9" i="13"/>
  <c r="R33" i="9" l="1"/>
  <c r="R29" i="9"/>
  <c r="R30" i="9" s="1"/>
  <c r="R11" i="3"/>
  <c r="R37" i="9" l="1"/>
  <c r="R38" i="9" s="1"/>
  <c r="R35" i="9"/>
  <c r="S32" i="9" s="1"/>
  <c r="R15" i="3"/>
  <c r="R6" i="13"/>
  <c r="S23" i="9" l="1"/>
  <c r="R7" i="13"/>
  <c r="R15" i="13" s="1"/>
  <c r="R20" i="3"/>
  <c r="R14" i="13"/>
  <c r="R16" i="13" s="1"/>
  <c r="R8" i="13"/>
  <c r="R20" i="12"/>
  <c r="R17" i="13" l="1"/>
  <c r="S14" i="3"/>
  <c r="S20" i="9"/>
  <c r="R9" i="13"/>
  <c r="S29" i="9" l="1"/>
  <c r="S30" i="9" s="1"/>
  <c r="S33" i="9"/>
  <c r="S11" i="3"/>
  <c r="S37" i="9" l="1"/>
  <c r="S38" i="9" s="1"/>
  <c r="S35" i="9"/>
  <c r="T32" i="9" s="1"/>
  <c r="S15" i="3"/>
  <c r="S6" i="13"/>
  <c r="S20" i="12" l="1"/>
  <c r="S14" i="13"/>
  <c r="S16" i="13" s="1"/>
  <c r="S8" i="13"/>
  <c r="S7" i="13"/>
  <c r="S15" i="13" s="1"/>
  <c r="S20" i="3"/>
  <c r="T23" i="9"/>
  <c r="T14" i="3" l="1"/>
  <c r="T11" i="3" s="1"/>
  <c r="T15" i="3" s="1"/>
  <c r="T7" i="13" s="1"/>
  <c r="T15" i="13" s="1"/>
  <c r="T20" i="9"/>
  <c r="S9" i="13"/>
  <c r="S17" i="13"/>
  <c r="T33" i="9" l="1"/>
  <c r="T29" i="9"/>
  <c r="T30" i="9" s="1"/>
  <c r="T20" i="3"/>
  <c r="T37" i="9" l="1"/>
  <c r="T38" i="9" s="1"/>
  <c r="T35" i="9"/>
  <c r="U32" i="9" s="1"/>
  <c r="T6" i="13"/>
  <c r="T14" i="13" l="1"/>
  <c r="T16" i="13" s="1"/>
  <c r="T8" i="13"/>
  <c r="U23" i="9"/>
  <c r="T20" i="12"/>
  <c r="U14" i="3" l="1"/>
  <c r="U11" i="3" s="1"/>
  <c r="U15" i="3" s="1"/>
  <c r="U20" i="9"/>
  <c r="T9" i="13"/>
  <c r="T17" i="13"/>
  <c r="U29" i="9" l="1"/>
  <c r="U30" i="9" s="1"/>
  <c r="U33" i="9"/>
  <c r="U7" i="13"/>
  <c r="U15" i="13" s="1"/>
  <c r="U20" i="3"/>
  <c r="U37" i="9" l="1"/>
  <c r="U38" i="9" s="1"/>
  <c r="U35" i="9"/>
  <c r="V32" i="9" s="1"/>
  <c r="U6" i="13"/>
  <c r="V23" i="9" l="1"/>
  <c r="U14" i="13"/>
  <c r="U16" i="13" s="1"/>
  <c r="U8" i="13"/>
  <c r="U20" i="12"/>
  <c r="V20" i="9" l="1"/>
  <c r="V14" i="3"/>
  <c r="V11" i="3" s="1"/>
  <c r="V15" i="3" s="1"/>
  <c r="U9" i="13"/>
  <c r="U17" i="13"/>
  <c r="V33" i="9" l="1"/>
  <c r="V29" i="9"/>
  <c r="V30" i="9" s="1"/>
  <c r="V7" i="13"/>
  <c r="V15" i="13" s="1"/>
  <c r="V20" i="3"/>
  <c r="V37" i="9" l="1"/>
  <c r="V38" i="9" s="1"/>
  <c r="V35" i="9"/>
  <c r="W32" i="9" s="1"/>
  <c r="V6" i="13"/>
  <c r="V20" i="12" l="1"/>
  <c r="V14" i="13"/>
  <c r="V16" i="13" s="1"/>
  <c r="V8" i="13"/>
  <c r="W23" i="9"/>
  <c r="W14" i="3" l="1"/>
  <c r="W11" i="3" s="1"/>
  <c r="W15" i="3" s="1"/>
  <c r="W20" i="9"/>
  <c r="V9" i="13"/>
  <c r="V17" i="13"/>
  <c r="W29" i="9" l="1"/>
  <c r="W30" i="9" s="1"/>
  <c r="W33" i="9"/>
  <c r="W7" i="13"/>
  <c r="W15" i="13" s="1"/>
  <c r="W20" i="3"/>
  <c r="W37" i="9" l="1"/>
  <c r="W38" i="9" s="1"/>
  <c r="W35" i="9"/>
  <c r="X32" i="9" s="1"/>
  <c r="W6" i="13"/>
  <c r="W14" i="13" l="1"/>
  <c r="W16" i="13" s="1"/>
  <c r="W8" i="13"/>
  <c r="X23" i="9"/>
  <c r="W20" i="12"/>
  <c r="X14" i="3" l="1"/>
  <c r="X11" i="3" s="1"/>
  <c r="X15" i="3" s="1"/>
  <c r="X20" i="9"/>
  <c r="W9" i="13"/>
  <c r="W17" i="13"/>
  <c r="X33" i="9" l="1"/>
  <c r="X29" i="9"/>
  <c r="X30" i="9" s="1"/>
  <c r="X7" i="13"/>
  <c r="X15" i="13" s="1"/>
  <c r="X20" i="3"/>
  <c r="X37" i="9" l="1"/>
  <c r="X38" i="9" s="1"/>
  <c r="X35" i="9"/>
  <c r="Y32" i="9" s="1"/>
  <c r="X6" i="13"/>
  <c r="Y23" i="9" l="1"/>
  <c r="X20" i="12"/>
  <c r="X14" i="13"/>
  <c r="X16" i="13" s="1"/>
  <c r="X8" i="13"/>
  <c r="X9" i="13" l="1"/>
  <c r="X17" i="13"/>
  <c r="Y14" i="3"/>
  <c r="Y11" i="3" s="1"/>
  <c r="Y15" i="3" s="1"/>
  <c r="Y20" i="9"/>
  <c r="Y29" i="9" l="1"/>
  <c r="Y30" i="9" s="1"/>
  <c r="Y33" i="9"/>
  <c r="Y7" i="13"/>
  <c r="Y15" i="13" s="1"/>
  <c r="Y20" i="3"/>
  <c r="Y37" i="9" l="1"/>
  <c r="Y38" i="9" s="1"/>
  <c r="Y35" i="9"/>
  <c r="Z32" i="9" s="1"/>
  <c r="Y6" i="13"/>
  <c r="Y14" i="13" l="1"/>
  <c r="Y16" i="13" s="1"/>
  <c r="Y8" i="13"/>
  <c r="Z23" i="9"/>
  <c r="Y20" i="12"/>
  <c r="Z20" i="9" l="1"/>
  <c r="Z14" i="3"/>
  <c r="D96" i="9"/>
  <c r="Y9" i="13"/>
  <c r="Y17" i="13"/>
  <c r="Z29" i="9" l="1"/>
  <c r="Z30" i="9" s="1"/>
  <c r="Z33" i="9"/>
  <c r="Z11" i="3"/>
  <c r="D52" i="3"/>
  <c r="D93" i="9"/>
  <c r="Z37" i="9" l="1"/>
  <c r="Z38" i="9" s="1"/>
  <c r="Z35" i="9"/>
  <c r="AA32" i="9" s="1"/>
  <c r="D102" i="9"/>
  <c r="Z15" i="3"/>
  <c r="D49" i="3"/>
  <c r="Z6" i="13"/>
  <c r="D106" i="9"/>
  <c r="D110" i="9" l="1"/>
  <c r="D108" i="9"/>
  <c r="E105" i="9" s="1"/>
  <c r="Z14" i="13"/>
  <c r="Z16" i="13" s="1"/>
  <c r="D64" i="13"/>
  <c r="Z8" i="13"/>
  <c r="Z20" i="12"/>
  <c r="AA23" i="9"/>
  <c r="D103" i="9"/>
  <c r="Z7" i="13"/>
  <c r="Z15" i="13" s="1"/>
  <c r="D53" i="3"/>
  <c r="Z20" i="3"/>
  <c r="Z17" i="13" l="1"/>
  <c r="D57" i="3"/>
  <c r="AA20" i="9"/>
  <c r="AA14" i="3"/>
  <c r="Z9" i="13"/>
  <c r="D111" i="9"/>
  <c r="AA29" i="9" l="1"/>
  <c r="AA30" i="9" s="1"/>
  <c r="AA33" i="9"/>
  <c r="AA11" i="3"/>
  <c r="AA37" i="9" l="1"/>
  <c r="AA38" i="9" s="1"/>
  <c r="AA35" i="9"/>
  <c r="AB32" i="9" s="1"/>
  <c r="AA15" i="3"/>
  <c r="AA6" i="13"/>
  <c r="AA14" i="13" l="1"/>
  <c r="AA8" i="13"/>
  <c r="AA20" i="12"/>
  <c r="AA7" i="13"/>
  <c r="AA15" i="13" s="1"/>
  <c r="AA20" i="3"/>
  <c r="AB23" i="9"/>
  <c r="AB14" i="3" l="1"/>
  <c r="AB20" i="9"/>
  <c r="AA16" i="13"/>
  <c r="AA9" i="13"/>
  <c r="AB33" i="9" l="1"/>
  <c r="AB29" i="9"/>
  <c r="AB30" i="9" s="1"/>
  <c r="AB11" i="3"/>
  <c r="AA17" i="13"/>
  <c r="AB37" i="9" l="1"/>
  <c r="AB38" i="9" s="1"/>
  <c r="AB35" i="9"/>
  <c r="AC32" i="9" s="1"/>
  <c r="AB6" i="13"/>
  <c r="AB15" i="3"/>
  <c r="AC23" i="9" l="1"/>
  <c r="AB20" i="12"/>
  <c r="AB7" i="13"/>
  <c r="AB15" i="13" s="1"/>
  <c r="AB20" i="3"/>
  <c r="AB14" i="13"/>
  <c r="AB8" i="13"/>
  <c r="AB9" i="13" l="1"/>
  <c r="AC14" i="3"/>
  <c r="AC20" i="9"/>
  <c r="AB16" i="13"/>
  <c r="AC33" i="9" l="1"/>
  <c r="AC29" i="9"/>
  <c r="AC30" i="9" s="1"/>
  <c r="AB17" i="13"/>
  <c r="AC11" i="3"/>
  <c r="AC37" i="9" l="1"/>
  <c r="AC38" i="9" s="1"/>
  <c r="AC35" i="9"/>
  <c r="AD32" i="9" s="1"/>
  <c r="AC15" i="3"/>
  <c r="AC6" i="13"/>
  <c r="AD23" i="9" l="1"/>
  <c r="AC7" i="13"/>
  <c r="AC15" i="13" s="1"/>
  <c r="AC20" i="3"/>
  <c r="AC20" i="12"/>
  <c r="AC14" i="13"/>
  <c r="AC8" i="13"/>
  <c r="AC9" i="13" l="1"/>
  <c r="AD14" i="3"/>
  <c r="AD20" i="9"/>
  <c r="AC16" i="13"/>
  <c r="AD29" i="9" l="1"/>
  <c r="AD30" i="9" s="1"/>
  <c r="AD33" i="9"/>
  <c r="AD11" i="3"/>
  <c r="AC17" i="13"/>
  <c r="AD37" i="9" l="1"/>
  <c r="AD38" i="9" s="1"/>
  <c r="AD35" i="9"/>
  <c r="AE32" i="9" s="1"/>
  <c r="AD6" i="13"/>
  <c r="AD15" i="3"/>
  <c r="AD7" i="13" l="1"/>
  <c r="AD15" i="13" s="1"/>
  <c r="AD20" i="3"/>
  <c r="AD20" i="12"/>
  <c r="AD14" i="13"/>
  <c r="AD8" i="13"/>
  <c r="AE23" i="9"/>
  <c r="AD16" i="13" l="1"/>
  <c r="AE14" i="3"/>
  <c r="AE20" i="9"/>
  <c r="AD9" i="13"/>
  <c r="AE29" i="9" l="1"/>
  <c r="AE30" i="9" s="1"/>
  <c r="AE33" i="9"/>
  <c r="AE11" i="3"/>
  <c r="AD17" i="13"/>
  <c r="AE37" i="9" l="1"/>
  <c r="AE38" i="9" s="1"/>
  <c r="AE35" i="9"/>
  <c r="AF32" i="9" s="1"/>
  <c r="AE6" i="13"/>
  <c r="AE15" i="3"/>
  <c r="AE7" i="13" l="1"/>
  <c r="AE15" i="13" s="1"/>
  <c r="AE20" i="3"/>
  <c r="AE14" i="13"/>
  <c r="AE8" i="13"/>
  <c r="AE20" i="12"/>
  <c r="AF23" i="9"/>
  <c r="AF14" i="3" l="1"/>
  <c r="AF11" i="3" s="1"/>
  <c r="AF15" i="3" s="1"/>
  <c r="AF7" i="13" s="1"/>
  <c r="AF15" i="13" s="1"/>
  <c r="AF20" i="9"/>
  <c r="AE9" i="13"/>
  <c r="AE16" i="13"/>
  <c r="AF33" i="9" l="1"/>
  <c r="AF29" i="9"/>
  <c r="AF30" i="9" s="1"/>
  <c r="AE17" i="13"/>
  <c r="AF20" i="3"/>
  <c r="AF37" i="9" l="1"/>
  <c r="AF38" i="9" s="1"/>
  <c r="AF35" i="9"/>
  <c r="AG32" i="9" s="1"/>
  <c r="AF6" i="13"/>
  <c r="AG23" i="9" l="1"/>
  <c r="AF20" i="12"/>
  <c r="AF14" i="13"/>
  <c r="AF16" i="13" s="1"/>
  <c r="AF8" i="13"/>
  <c r="AF9" i="13" l="1"/>
  <c r="AG14" i="3"/>
  <c r="AG11" i="3" s="1"/>
  <c r="AG15" i="3" s="1"/>
  <c r="AG20" i="9"/>
  <c r="AF17" i="13"/>
  <c r="AG33" i="9" l="1"/>
  <c r="AG29" i="9"/>
  <c r="AG30" i="9" s="1"/>
  <c r="AG7" i="13"/>
  <c r="AG15" i="13" s="1"/>
  <c r="AG20" i="3"/>
  <c r="AG37" i="9" l="1"/>
  <c r="AG38" i="9" s="1"/>
  <c r="AG35" i="9"/>
  <c r="AH32" i="9" s="1"/>
  <c r="AG6" i="13"/>
  <c r="AH23" i="9" l="1"/>
  <c r="AG20" i="12"/>
  <c r="AG14" i="13"/>
  <c r="AG16" i="13" s="1"/>
  <c r="AG8" i="13"/>
  <c r="AG9" i="13" l="1"/>
  <c r="AG17" i="13"/>
  <c r="AH14" i="3"/>
  <c r="AH11" i="3" s="1"/>
  <c r="AH15" i="3" s="1"/>
  <c r="AH20" i="9"/>
  <c r="AH33" i="9" l="1"/>
  <c r="AH29" i="9"/>
  <c r="AH30" i="9" s="1"/>
  <c r="AH7" i="13"/>
  <c r="AH15" i="13" s="1"/>
  <c r="AH20" i="3"/>
  <c r="AH37" i="9" l="1"/>
  <c r="AH38" i="9" s="1"/>
  <c r="AH35" i="9"/>
  <c r="AI32" i="9" s="1"/>
  <c r="AH6" i="13"/>
  <c r="AH14" i="13" l="1"/>
  <c r="AH16" i="13" s="1"/>
  <c r="AH8" i="13"/>
  <c r="AI23" i="9"/>
  <c r="AH20" i="12"/>
  <c r="AI20" i="9" l="1"/>
  <c r="AI14" i="3"/>
  <c r="AI11" i="3" s="1"/>
  <c r="AI15" i="3" s="1"/>
  <c r="AH9" i="13"/>
  <c r="AH17" i="13"/>
  <c r="AI29" i="9" l="1"/>
  <c r="AI30" i="9" s="1"/>
  <c r="AI33" i="9"/>
  <c r="AI7" i="13"/>
  <c r="AI15" i="13" s="1"/>
  <c r="AI20" i="3"/>
  <c r="AI37" i="9" l="1"/>
  <c r="AI38" i="9" s="1"/>
  <c r="AI35" i="9"/>
  <c r="AJ32" i="9" s="1"/>
  <c r="AI6" i="13"/>
  <c r="AJ23" i="9" l="1"/>
  <c r="AI20" i="12"/>
  <c r="AI14" i="13"/>
  <c r="AI16" i="13" s="1"/>
  <c r="AI8" i="13"/>
  <c r="AI9" i="13" l="1"/>
  <c r="AJ14" i="3"/>
  <c r="AJ11" i="3" s="1"/>
  <c r="AJ15" i="3" s="1"/>
  <c r="AJ20" i="9"/>
  <c r="AI17" i="13"/>
  <c r="AJ33" i="9" l="1"/>
  <c r="AJ29" i="9"/>
  <c r="AJ30" i="9" s="1"/>
  <c r="AJ7" i="13"/>
  <c r="AJ15" i="13" s="1"/>
  <c r="AJ20" i="3"/>
  <c r="AJ37" i="9" l="1"/>
  <c r="AJ38" i="9" s="1"/>
  <c r="AJ35" i="9"/>
  <c r="AK32" i="9" s="1"/>
  <c r="AJ6" i="13"/>
  <c r="AK23" i="9" l="1"/>
  <c r="AJ20" i="12"/>
  <c r="AJ14" i="13"/>
  <c r="AJ16" i="13" s="1"/>
  <c r="AJ8" i="13"/>
  <c r="AJ9" i="13" l="1"/>
  <c r="AJ17" i="13"/>
  <c r="AK14" i="3"/>
  <c r="AK11" i="3" s="1"/>
  <c r="AK15" i="3" s="1"/>
  <c r="AK20" i="9"/>
  <c r="AK29" i="9" l="1"/>
  <c r="AK30" i="9" s="1"/>
  <c r="AK33" i="9"/>
  <c r="AK7" i="13"/>
  <c r="AK15" i="13" s="1"/>
  <c r="AK20" i="3"/>
  <c r="AK37" i="9" l="1"/>
  <c r="AK38" i="9" s="1"/>
  <c r="AK35" i="9"/>
  <c r="AL32" i="9" s="1"/>
  <c r="AK6" i="13"/>
  <c r="AK14" i="13" l="1"/>
  <c r="AK16" i="13" s="1"/>
  <c r="AK8" i="13"/>
  <c r="AL23" i="9"/>
  <c r="AK20" i="12"/>
  <c r="AL20" i="9" l="1"/>
  <c r="AL14" i="3"/>
  <c r="E96" i="9"/>
  <c r="AK9" i="13"/>
  <c r="AK17" i="13"/>
  <c r="AL33" i="9" l="1"/>
  <c r="AL29" i="9"/>
  <c r="AL30" i="9" s="1"/>
  <c r="AL11" i="3"/>
  <c r="E52" i="3"/>
  <c r="B52" i="3" s="1"/>
  <c r="E93" i="9"/>
  <c r="AL37" i="9" l="1"/>
  <c r="AL38" i="9" s="1"/>
  <c r="AL35" i="9"/>
  <c r="AM32" i="9" s="1"/>
  <c r="E102" i="9"/>
  <c r="AL6" i="13"/>
  <c r="E106" i="9"/>
  <c r="AL15" i="3"/>
  <c r="E49" i="3"/>
  <c r="B49" i="3" s="1"/>
  <c r="AL20" i="12" l="1"/>
  <c r="AL14" i="13"/>
  <c r="E64" i="13"/>
  <c r="AL8" i="13"/>
  <c r="AL7" i="13"/>
  <c r="AL15" i="13" s="1"/>
  <c r="E53" i="3"/>
  <c r="AL20" i="3"/>
  <c r="AM23" i="9"/>
  <c r="E103" i="9"/>
  <c r="E110" i="9"/>
  <c r="E108" i="9"/>
  <c r="F105" i="9" s="1"/>
  <c r="B53" i="3" l="1"/>
  <c r="B63" i="3" s="1"/>
  <c r="E57" i="3"/>
  <c r="B39" i="13"/>
  <c r="AL16" i="13"/>
  <c r="E111" i="9"/>
  <c r="AM14" i="3"/>
  <c r="AM11" i="3" s="1"/>
  <c r="AM15" i="3" s="1"/>
  <c r="AM7" i="13" s="1"/>
  <c r="AM15" i="13" s="1"/>
  <c r="AM20" i="9"/>
  <c r="AL9" i="13"/>
  <c r="AM29" i="9" l="1"/>
  <c r="AM30" i="9" s="1"/>
  <c r="AM33" i="9"/>
  <c r="AL17" i="13"/>
  <c r="B65" i="3"/>
  <c r="C65" i="3" s="1"/>
  <c r="B29" i="14"/>
  <c r="B64" i="3"/>
  <c r="AM20" i="3"/>
  <c r="AM37" i="9" l="1"/>
  <c r="AM38" i="9" s="1"/>
  <c r="AM35" i="9"/>
  <c r="AN32" i="9" s="1"/>
  <c r="AM6" i="13"/>
  <c r="B39" i="14"/>
  <c r="C64" i="3"/>
  <c r="AN23" i="9" l="1"/>
  <c r="AM14" i="13"/>
  <c r="AM16" i="13" s="1"/>
  <c r="AM8" i="13"/>
  <c r="AM20" i="12"/>
  <c r="AM9" i="13" l="1"/>
  <c r="AM17" i="13"/>
  <c r="AN14" i="3"/>
  <c r="AN11" i="3" s="1"/>
  <c r="AN15" i="3" s="1"/>
  <c r="AN20" i="9"/>
  <c r="AN33" i="9" l="1"/>
  <c r="AN29" i="9"/>
  <c r="AN30" i="9" s="1"/>
  <c r="AN7" i="13"/>
  <c r="AN15" i="13" s="1"/>
  <c r="AN20" i="3"/>
  <c r="AN37" i="9" l="1"/>
  <c r="AN38" i="9" s="1"/>
  <c r="AN35" i="9"/>
  <c r="AO32" i="9" s="1"/>
  <c r="AN6" i="13"/>
  <c r="AO23" i="9" l="1"/>
  <c r="AN14" i="13"/>
  <c r="AN16" i="13" s="1"/>
  <c r="AN8" i="13"/>
  <c r="AN20" i="12"/>
  <c r="AN17" i="13" l="1"/>
  <c r="AN9" i="13"/>
  <c r="AO14" i="3"/>
  <c r="AO11" i="3" s="1"/>
  <c r="AO15" i="3" s="1"/>
  <c r="AO20" i="9"/>
  <c r="AO29" i="9" l="1"/>
  <c r="AO30" i="9" s="1"/>
  <c r="AO33" i="9"/>
  <c r="AO7" i="13"/>
  <c r="AO15" i="13" s="1"/>
  <c r="AO20" i="3"/>
  <c r="AO37" i="9" l="1"/>
  <c r="AO38" i="9" s="1"/>
  <c r="AO35" i="9"/>
  <c r="AP32" i="9" s="1"/>
  <c r="AO6" i="13"/>
  <c r="AO14" i="13" l="1"/>
  <c r="AO16" i="13" s="1"/>
  <c r="AO8" i="13"/>
  <c r="AO20" i="12"/>
  <c r="AP23" i="9"/>
  <c r="AP14" i="3" l="1"/>
  <c r="AP11" i="3" s="1"/>
  <c r="AP15" i="3" s="1"/>
  <c r="AP20" i="9"/>
  <c r="AO17" i="13"/>
  <c r="AO9" i="13"/>
  <c r="AP29" i="9" l="1"/>
  <c r="AP30" i="9" s="1"/>
  <c r="AP33" i="9"/>
  <c r="AP7" i="13"/>
  <c r="AP15" i="13" s="1"/>
  <c r="AP20" i="3"/>
  <c r="AP37" i="9" l="1"/>
  <c r="AP38" i="9" s="1"/>
  <c r="AP35" i="9"/>
  <c r="AQ32" i="9" s="1"/>
  <c r="AP6" i="13"/>
  <c r="AP14" i="13" l="1"/>
  <c r="AP16" i="13" s="1"/>
  <c r="AP8" i="13"/>
  <c r="AP20" i="12"/>
  <c r="AQ23" i="9"/>
  <c r="AQ20" i="9" l="1"/>
  <c r="AQ14" i="3"/>
  <c r="AQ11" i="3" s="1"/>
  <c r="AQ15" i="3" s="1"/>
  <c r="AP17" i="13"/>
  <c r="AP9" i="13"/>
  <c r="AQ29" i="9" l="1"/>
  <c r="AQ30" i="9" s="1"/>
  <c r="AQ33" i="9"/>
  <c r="AQ7" i="13"/>
  <c r="AQ15" i="13" s="1"/>
  <c r="AQ20" i="3"/>
  <c r="AQ37" i="9" l="1"/>
  <c r="AQ38" i="9" s="1"/>
  <c r="AQ35" i="9"/>
  <c r="AR32" i="9" s="1"/>
  <c r="AQ6" i="13"/>
  <c r="AQ14" i="13" l="1"/>
  <c r="AQ16" i="13" s="1"/>
  <c r="AQ8" i="13"/>
  <c r="AR23" i="9"/>
  <c r="AQ20" i="12"/>
  <c r="AQ9" i="13" l="1"/>
  <c r="AQ17" i="13"/>
  <c r="AR20" i="9"/>
  <c r="AR14" i="3"/>
  <c r="AR11" i="3" s="1"/>
  <c r="AR15" i="3" s="1"/>
  <c r="AR33" i="9" l="1"/>
  <c r="AR29" i="9"/>
  <c r="AR30" i="9" s="1"/>
  <c r="AR7" i="13"/>
  <c r="AR15" i="13" s="1"/>
  <c r="AR20" i="3"/>
  <c r="AR37" i="9" l="1"/>
  <c r="AR38" i="9" s="1"/>
  <c r="AR35" i="9"/>
  <c r="AS32" i="9" s="1"/>
  <c r="AR6" i="13"/>
  <c r="AR20" i="12" l="1"/>
  <c r="AR14" i="13"/>
  <c r="AR16" i="13" s="1"/>
  <c r="AR8" i="13"/>
  <c r="AS23" i="9"/>
  <c r="AS14" i="3" l="1"/>
  <c r="AS11" i="3" s="1"/>
  <c r="AS15" i="3" s="1"/>
  <c r="AS20" i="9"/>
  <c r="AR9" i="13"/>
  <c r="AR17" i="13"/>
  <c r="AS33" i="9" l="1"/>
  <c r="AS29" i="9"/>
  <c r="AS30" i="9" s="1"/>
  <c r="AS7" i="13"/>
  <c r="AS15" i="13" s="1"/>
  <c r="AS20" i="3"/>
  <c r="AS37" i="9" l="1"/>
  <c r="AS38" i="9" s="1"/>
  <c r="AS35" i="9"/>
  <c r="AT32" i="9" s="1"/>
  <c r="AS6" i="13"/>
  <c r="AS20" i="12" l="1"/>
  <c r="AT23" i="9"/>
  <c r="AS14" i="13"/>
  <c r="AS16" i="13" s="1"/>
  <c r="AS8" i="13"/>
  <c r="AT14" i="3" l="1"/>
  <c r="AT11" i="3" s="1"/>
  <c r="AT15" i="3" s="1"/>
  <c r="AT20" i="9"/>
  <c r="AS9" i="13"/>
  <c r="AS17" i="13"/>
  <c r="AT29" i="9" l="1"/>
  <c r="AT30" i="9" s="1"/>
  <c r="AT33" i="9"/>
  <c r="AT7" i="13"/>
  <c r="AT15" i="13" s="1"/>
  <c r="AT20" i="3"/>
  <c r="AT37" i="9" l="1"/>
  <c r="AT38" i="9" s="1"/>
  <c r="AT35" i="9"/>
  <c r="AU32" i="9" s="1"/>
  <c r="AT6" i="13"/>
  <c r="AU23" i="9" l="1"/>
  <c r="AT14" i="13"/>
  <c r="AT16" i="13" s="1"/>
  <c r="AT8" i="13"/>
  <c r="AT20" i="12"/>
  <c r="AT9" i="13" l="1"/>
  <c r="AT17" i="13"/>
  <c r="AU14" i="3"/>
  <c r="AU11" i="3" s="1"/>
  <c r="AU15" i="3" s="1"/>
  <c r="AU20" i="9"/>
  <c r="AU29" i="9" l="1"/>
  <c r="AU30" i="9" s="1"/>
  <c r="AU33" i="9"/>
  <c r="AU7" i="13"/>
  <c r="AU15" i="13" s="1"/>
  <c r="AU20" i="3"/>
  <c r="AU37" i="9" l="1"/>
  <c r="AU38" i="9" s="1"/>
  <c r="AU35" i="9"/>
  <c r="AV32" i="9" s="1"/>
  <c r="AU6" i="13"/>
  <c r="AV23" i="9" l="1"/>
  <c r="AU14" i="13"/>
  <c r="AU16" i="13" s="1"/>
  <c r="AU8" i="13"/>
  <c r="AU20" i="12"/>
  <c r="AU17" i="13" l="1"/>
  <c r="AU9" i="13"/>
  <c r="AV20" i="9"/>
  <c r="AV14" i="3"/>
  <c r="AV11" i="3" s="1"/>
  <c r="AV15" i="3" s="1"/>
  <c r="AV33" i="9" l="1"/>
  <c r="AV29" i="9"/>
  <c r="AV30" i="9" s="1"/>
  <c r="AV7" i="13"/>
  <c r="AV15" i="13" s="1"/>
  <c r="AV20" i="3"/>
  <c r="AV37" i="9" l="1"/>
  <c r="AV38" i="9" s="1"/>
  <c r="AV35" i="9"/>
  <c r="AW32" i="9" s="1"/>
  <c r="AV6" i="13"/>
  <c r="AW23" i="9" l="1"/>
  <c r="AV14" i="13"/>
  <c r="AV16" i="13" s="1"/>
  <c r="AV8" i="13"/>
  <c r="AV20" i="12"/>
  <c r="AV17" i="13" l="1"/>
  <c r="AW20" i="9"/>
  <c r="AW14" i="3"/>
  <c r="AW11" i="3" s="1"/>
  <c r="AW15" i="3" s="1"/>
  <c r="AV9" i="13"/>
  <c r="AW33" i="9" l="1"/>
  <c r="AW29" i="9"/>
  <c r="AW30" i="9" s="1"/>
  <c r="AW7" i="13"/>
  <c r="AW15" i="13" s="1"/>
  <c r="AW20" i="3"/>
  <c r="AW37" i="9" l="1"/>
  <c r="AW38" i="9" s="1"/>
  <c r="AW35" i="9"/>
  <c r="AX32" i="9" s="1"/>
  <c r="AW6" i="13"/>
  <c r="AW14" i="13" l="1"/>
  <c r="AW16" i="13" s="1"/>
  <c r="AW8" i="13"/>
  <c r="AW20" i="12"/>
  <c r="AX23" i="9"/>
  <c r="AW9" i="13" l="1"/>
  <c r="AX14" i="3"/>
  <c r="AX11" i="3" s="1"/>
  <c r="AX15" i="3" s="1"/>
  <c r="AX20" i="9"/>
  <c r="F96" i="9"/>
  <c r="AW17" i="13"/>
  <c r="AX33" i="9" l="1"/>
  <c r="AX29" i="9"/>
  <c r="AX30" i="9" s="1"/>
  <c r="F93" i="9"/>
  <c r="AX7" i="13"/>
  <c r="AX15" i="13" s="1"/>
  <c r="AX20" i="3"/>
  <c r="AX37" i="9" l="1"/>
  <c r="AX38" i="9" s="1"/>
  <c r="AX35" i="9"/>
  <c r="AY32" i="9" s="1"/>
  <c r="F102" i="9"/>
  <c r="AX6" i="13"/>
  <c r="F106" i="9"/>
  <c r="AY23" i="9" l="1"/>
  <c r="F108" i="9"/>
  <c r="G105" i="9" s="1"/>
  <c r="F110" i="9"/>
  <c r="F103" i="9"/>
  <c r="AX20" i="12"/>
  <c r="AX14" i="13"/>
  <c r="AX16" i="13" s="1"/>
  <c r="F64" i="13"/>
  <c r="AX8" i="13"/>
  <c r="AX17" i="13" l="1"/>
  <c r="AY14" i="3"/>
  <c r="AY11" i="3" s="1"/>
  <c r="AY15" i="3" s="1"/>
  <c r="AY20" i="9"/>
  <c r="AX9" i="13"/>
  <c r="F111" i="9"/>
  <c r="AY29" i="9" l="1"/>
  <c r="AY30" i="9" s="1"/>
  <c r="AY33" i="9"/>
  <c r="AY7" i="13"/>
  <c r="AY15" i="13" s="1"/>
  <c r="AY20" i="3"/>
  <c r="AY37" i="9" l="1"/>
  <c r="AY38" i="9" s="1"/>
  <c r="AY35" i="9"/>
  <c r="AZ32" i="9" s="1"/>
  <c r="AY6" i="13"/>
  <c r="AY14" i="13" l="1"/>
  <c r="AY16" i="13" s="1"/>
  <c r="AY8" i="13"/>
  <c r="AY20" i="12"/>
  <c r="AZ23" i="9"/>
  <c r="AZ14" i="3" l="1"/>
  <c r="AZ11" i="3" s="1"/>
  <c r="AZ15" i="3" s="1"/>
  <c r="AZ20" i="9"/>
  <c r="AY9" i="13"/>
  <c r="AY17" i="13"/>
  <c r="AZ33" i="9" l="1"/>
  <c r="AZ29" i="9"/>
  <c r="AZ30" i="9" s="1"/>
  <c r="AZ7" i="13"/>
  <c r="AZ15" i="13" s="1"/>
  <c r="AZ20" i="3"/>
  <c r="AZ37" i="9" l="1"/>
  <c r="AZ38" i="9" s="1"/>
  <c r="AZ35" i="9"/>
  <c r="BA32" i="9" s="1"/>
  <c r="AZ6" i="13"/>
  <c r="AZ14" i="13" l="1"/>
  <c r="AZ16" i="13" s="1"/>
  <c r="AZ8" i="13"/>
  <c r="AZ20" i="12"/>
  <c r="BA23" i="9"/>
  <c r="AZ9" i="13" l="1"/>
  <c r="BA14" i="3"/>
  <c r="BA11" i="3" s="1"/>
  <c r="BA15" i="3" s="1"/>
  <c r="BA20" i="9"/>
  <c r="AZ17" i="13"/>
  <c r="BA29" i="9" l="1"/>
  <c r="BA30" i="9" s="1"/>
  <c r="BA33" i="9"/>
  <c r="BA7" i="13"/>
  <c r="BA15" i="13" s="1"/>
  <c r="BA20" i="3"/>
  <c r="BA37" i="9" l="1"/>
  <c r="BA38" i="9" s="1"/>
  <c r="BA35" i="9"/>
  <c r="BB32" i="9" s="1"/>
  <c r="BA6" i="13"/>
  <c r="BA20" i="12" l="1"/>
  <c r="BA14" i="13"/>
  <c r="BA16" i="13" s="1"/>
  <c r="BA8" i="13"/>
  <c r="BB23" i="9"/>
  <c r="BA9" i="13" l="1"/>
  <c r="BB14" i="3"/>
  <c r="BB11" i="3" s="1"/>
  <c r="BB15" i="3" s="1"/>
  <c r="BB20" i="9"/>
  <c r="BA17" i="13"/>
  <c r="BB33" i="9" l="1"/>
  <c r="BB29" i="9"/>
  <c r="BB30" i="9" s="1"/>
  <c r="BB7" i="13"/>
  <c r="BB15" i="13" s="1"/>
  <c r="BB20" i="3"/>
  <c r="BB37" i="9" l="1"/>
  <c r="BB38" i="9" s="1"/>
  <c r="BB35" i="9"/>
  <c r="BC32" i="9" s="1"/>
  <c r="BB6" i="13"/>
  <c r="BB20" i="12" l="1"/>
  <c r="BB14" i="13"/>
  <c r="BB16" i="13" s="1"/>
  <c r="BB8" i="13"/>
  <c r="BC23" i="9"/>
  <c r="BB9" i="13" l="1"/>
  <c r="BC14" i="3"/>
  <c r="BC11" i="3" s="1"/>
  <c r="BC15" i="3" s="1"/>
  <c r="BC20" i="9"/>
  <c r="BB17" i="13"/>
  <c r="BC29" i="9" l="1"/>
  <c r="BC30" i="9" s="1"/>
  <c r="BC33" i="9"/>
  <c r="BC7" i="13"/>
  <c r="BC15" i="13" s="1"/>
  <c r="BC20" i="3"/>
  <c r="BC37" i="9" l="1"/>
  <c r="BC38" i="9" s="1"/>
  <c r="BC35" i="9"/>
  <c r="BD32" i="9" s="1"/>
  <c r="BC6" i="13"/>
  <c r="BC20" i="12" l="1"/>
  <c r="BC14" i="13"/>
  <c r="BC16" i="13" s="1"/>
  <c r="BC8" i="13"/>
  <c r="BD23" i="9"/>
  <c r="BC9" i="13" l="1"/>
  <c r="BD14" i="3"/>
  <c r="BD11" i="3" s="1"/>
  <c r="BD15" i="3" s="1"/>
  <c r="BD20" i="9"/>
  <c r="BC17" i="13"/>
  <c r="BD33" i="9" l="1"/>
  <c r="BD29" i="9"/>
  <c r="BD30" i="9" s="1"/>
  <c r="BD7" i="13"/>
  <c r="BD15" i="13" s="1"/>
  <c r="BD20" i="3"/>
  <c r="BD37" i="9" l="1"/>
  <c r="BD38" i="9" s="1"/>
  <c r="BD35" i="9"/>
  <c r="BE32" i="9" s="1"/>
  <c r="BD6" i="13"/>
  <c r="BE23" i="9" l="1"/>
  <c r="BD20" i="12"/>
  <c r="BD14" i="13"/>
  <c r="BD16" i="13" s="1"/>
  <c r="BD8" i="13"/>
  <c r="BD9" i="13" l="1"/>
  <c r="BD17" i="13"/>
  <c r="BE14" i="3"/>
  <c r="BE11" i="3" s="1"/>
  <c r="BE15" i="3" s="1"/>
  <c r="BE20" i="9"/>
  <c r="BE29" i="9" l="1"/>
  <c r="BE30" i="9" s="1"/>
  <c r="BE33" i="9"/>
  <c r="BE7" i="13"/>
  <c r="BE15" i="13" s="1"/>
  <c r="BE20" i="3"/>
  <c r="BE37" i="9" l="1"/>
  <c r="BE38" i="9" s="1"/>
  <c r="BE35" i="9"/>
  <c r="BF32" i="9" s="1"/>
  <c r="BE6" i="13"/>
  <c r="BF23" i="9" l="1"/>
  <c r="BE20" i="12"/>
  <c r="BE14" i="13"/>
  <c r="BE16" i="13" s="1"/>
  <c r="BE8" i="13"/>
  <c r="BE9" i="13" l="1"/>
  <c r="BF14" i="3"/>
  <c r="BF11" i="3" s="1"/>
  <c r="BF15" i="3" s="1"/>
  <c r="BF20" i="9"/>
  <c r="BE17" i="13"/>
  <c r="BF29" i="9" l="1"/>
  <c r="BF30" i="9" s="1"/>
  <c r="BF33" i="9"/>
  <c r="BF7" i="13"/>
  <c r="BF15" i="13" s="1"/>
  <c r="BF20" i="3"/>
  <c r="BF37" i="9" l="1"/>
  <c r="BF38" i="9" s="1"/>
  <c r="BF35" i="9"/>
  <c r="BG32" i="9" s="1"/>
  <c r="BF6" i="13"/>
  <c r="BF14" i="13" l="1"/>
  <c r="BF16" i="13" s="1"/>
  <c r="BF8" i="13"/>
  <c r="BG23" i="9"/>
  <c r="BF20" i="12"/>
  <c r="BF9" i="13" l="1"/>
  <c r="BF17" i="13"/>
  <c r="BG20" i="9"/>
  <c r="BG14" i="3"/>
  <c r="BG11" i="3" s="1"/>
  <c r="BG15" i="3" s="1"/>
  <c r="BG29" i="9" l="1"/>
  <c r="BG30" i="9" s="1"/>
  <c r="BG33" i="9"/>
  <c r="BG7" i="13"/>
  <c r="BG15" i="13" s="1"/>
  <c r="BG20" i="3"/>
  <c r="BG37" i="9" l="1"/>
  <c r="BG38" i="9" s="1"/>
  <c r="BG35" i="9"/>
  <c r="BH32" i="9" s="1"/>
  <c r="BG6" i="13"/>
  <c r="BG20" i="12" l="1"/>
  <c r="BG14" i="13"/>
  <c r="BG16" i="13" s="1"/>
  <c r="BG8" i="13"/>
  <c r="BH23" i="9"/>
  <c r="BH20" i="9" l="1"/>
  <c r="BH14" i="3"/>
  <c r="BH11" i="3" s="1"/>
  <c r="BH15" i="3" s="1"/>
  <c r="BG9" i="13"/>
  <c r="BG17" i="13"/>
  <c r="BH33" i="9" l="1"/>
  <c r="BH29" i="9"/>
  <c r="BH30" i="9" s="1"/>
  <c r="BH7" i="13"/>
  <c r="BH15" i="13" s="1"/>
  <c r="BH20" i="3"/>
  <c r="BH37" i="9" l="1"/>
  <c r="BH38" i="9" s="1"/>
  <c r="BH35" i="9"/>
  <c r="BI32" i="9" s="1"/>
  <c r="BH6" i="13"/>
  <c r="BH14" i="13" l="1"/>
  <c r="BH16" i="13" s="1"/>
  <c r="BH8" i="13"/>
  <c r="BI23" i="9"/>
  <c r="BH20" i="12"/>
  <c r="BH9" i="13" l="1"/>
  <c r="BH17" i="13"/>
  <c r="BI14" i="3"/>
  <c r="BI11" i="3" s="1"/>
  <c r="BI15" i="3" s="1"/>
  <c r="BI20" i="9"/>
  <c r="BI33" i="9" l="1"/>
  <c r="BI29" i="9"/>
  <c r="BI30" i="9" s="1"/>
  <c r="BI7" i="13"/>
  <c r="BI15" i="13" s="1"/>
  <c r="BI20" i="3"/>
  <c r="BI37" i="9" l="1"/>
  <c r="BI38" i="9" s="1"/>
  <c r="BI35" i="9"/>
  <c r="BJ32" i="9" s="1"/>
  <c r="BI6" i="13"/>
  <c r="BI14" i="13" l="1"/>
  <c r="BI16" i="13" s="1"/>
  <c r="BI8" i="13"/>
  <c r="BJ23" i="9"/>
  <c r="BI20" i="12"/>
  <c r="BI9" i="13" l="1"/>
  <c r="BI17" i="13"/>
  <c r="BJ14" i="3"/>
  <c r="BJ20" i="9"/>
  <c r="B23" i="9"/>
  <c r="G96" i="9"/>
  <c r="B96" i="9" s="1"/>
  <c r="BJ29" i="9" l="1"/>
  <c r="BJ30" i="9" s="1"/>
  <c r="BJ33" i="9"/>
  <c r="B20" i="9"/>
  <c r="G93" i="9"/>
  <c r="B93" i="9" s="1"/>
  <c r="BJ11" i="3"/>
  <c r="B14" i="3"/>
  <c r="BJ37" i="9" l="1"/>
  <c r="BJ38" i="9" s="1"/>
  <c r="BJ35" i="9"/>
  <c r="B35" i="9" s="1"/>
  <c r="B30" i="9"/>
  <c r="B29" i="9"/>
  <c r="G102" i="9"/>
  <c r="BJ15" i="3"/>
  <c r="B11" i="3"/>
  <c r="BJ6" i="13"/>
  <c r="B33" i="9"/>
  <c r="G106" i="9"/>
  <c r="BJ14" i="13" l="1"/>
  <c r="B30" i="13"/>
  <c r="B6" i="13"/>
  <c r="B30" i="14" s="1"/>
  <c r="G64" i="13"/>
  <c r="BJ8" i="13"/>
  <c r="G108" i="9"/>
  <c r="G110" i="9"/>
  <c r="B106" i="9"/>
  <c r="B108" i="9" s="1"/>
  <c r="BJ7" i="13"/>
  <c r="B15" i="3"/>
  <c r="B41" i="13" s="1"/>
  <c r="B33" i="14" s="1"/>
  <c r="BJ20" i="3"/>
  <c r="B20" i="3" s="1"/>
  <c r="BJ20" i="12"/>
  <c r="B20" i="12" s="1"/>
  <c r="B9" i="14" s="1"/>
  <c r="B37" i="9"/>
  <c r="B38" i="9"/>
  <c r="B102" i="9"/>
  <c r="G103" i="9"/>
  <c r="B103" i="9" s="1"/>
  <c r="B66" i="13" l="1"/>
  <c r="C28" i="14" s="1"/>
  <c r="B110" i="9"/>
  <c r="G111" i="9"/>
  <c r="B111" i="9" s="1"/>
  <c r="M57" i="13"/>
  <c r="M58" i="13" s="1"/>
  <c r="I57" i="13"/>
  <c r="I58" i="13" s="1"/>
  <c r="U57" i="13"/>
  <c r="U58" i="13" s="1"/>
  <c r="R57" i="13"/>
  <c r="R58" i="13" s="1"/>
  <c r="X57" i="13"/>
  <c r="X58" i="13" s="1"/>
  <c r="AE57" i="13"/>
  <c r="AE58" i="13" s="1"/>
  <c r="K57" i="13"/>
  <c r="K58" i="13" s="1"/>
  <c r="E57" i="13"/>
  <c r="E58" i="13" s="1"/>
  <c r="O57" i="13"/>
  <c r="O58" i="13" s="1"/>
  <c r="AL57" i="13"/>
  <c r="AL58" i="13" s="1"/>
  <c r="Q57" i="13"/>
  <c r="Q58" i="13" s="1"/>
  <c r="B31" i="13"/>
  <c r="AD57" i="13"/>
  <c r="AD58" i="13" s="1"/>
  <c r="AG57" i="13"/>
  <c r="AG58" i="13" s="1"/>
  <c r="H57" i="13"/>
  <c r="H58" i="13" s="1"/>
  <c r="T57" i="13"/>
  <c r="T58" i="13" s="1"/>
  <c r="AI57" i="13"/>
  <c r="AI58" i="13" s="1"/>
  <c r="AJ57" i="13"/>
  <c r="AJ58" i="13" s="1"/>
  <c r="AC57" i="13"/>
  <c r="AC58" i="13" s="1"/>
  <c r="AK57" i="13"/>
  <c r="AK58" i="13" s="1"/>
  <c r="Y57" i="13"/>
  <c r="Y58" i="13" s="1"/>
  <c r="L57" i="13"/>
  <c r="L58" i="13" s="1"/>
  <c r="AF57" i="13"/>
  <c r="AF58" i="13" s="1"/>
  <c r="AA57" i="13"/>
  <c r="AA58" i="13" s="1"/>
  <c r="AB57" i="13"/>
  <c r="AB58" i="13" s="1"/>
  <c r="V57" i="13"/>
  <c r="V58" i="13" s="1"/>
  <c r="F57" i="13"/>
  <c r="F58" i="13" s="1"/>
  <c r="Z57" i="13"/>
  <c r="Z58" i="13" s="1"/>
  <c r="D57" i="13"/>
  <c r="D58" i="13" s="1"/>
  <c r="S57" i="13"/>
  <c r="S58" i="13" s="1"/>
  <c r="N57" i="13"/>
  <c r="N58" i="13" s="1"/>
  <c r="J57" i="13"/>
  <c r="J58" i="13" s="1"/>
  <c r="G57" i="13"/>
  <c r="G58" i="13" s="1"/>
  <c r="AH57" i="13"/>
  <c r="AH58" i="13" s="1"/>
  <c r="P57" i="13"/>
  <c r="P58" i="13" s="1"/>
  <c r="W57" i="13"/>
  <c r="W58" i="13" s="1"/>
  <c r="C57" i="13"/>
  <c r="C58" i="13" s="1"/>
  <c r="BJ15" i="13"/>
  <c r="B15" i="13" s="1"/>
  <c r="B7" i="13"/>
  <c r="B8" i="13"/>
  <c r="BJ9" i="13"/>
  <c r="B9" i="13" s="1"/>
  <c r="B24" i="13" s="1"/>
  <c r="B25" i="13" s="1"/>
  <c r="B14" i="13"/>
  <c r="BJ16" i="13"/>
  <c r="B58" i="13" l="1"/>
  <c r="B25" i="42"/>
  <c r="D119" i="42" s="1"/>
  <c r="B28" i="14"/>
  <c r="B16" i="13"/>
  <c r="B34" i="13"/>
  <c r="BJ17" i="13"/>
  <c r="B17" i="13" s="1"/>
  <c r="B26" i="13" s="1"/>
  <c r="B27" i="13" s="1"/>
  <c r="B34" i="14"/>
  <c r="B76" i="42"/>
  <c r="G119" i="42" s="1"/>
  <c r="B35" i="14" l="1"/>
  <c r="B93" i="42"/>
  <c r="H119" i="42" s="1"/>
  <c r="C119" i="42"/>
  <c r="B28" i="13"/>
  <c r="B8" i="42"/>
  <c r="B5" i="45"/>
  <c r="B31" i="14"/>
  <c r="B42" i="13"/>
  <c r="B35" i="13" s="1"/>
  <c r="B32" i="14" s="1"/>
  <c r="B29" i="13" l="1"/>
  <c r="B36" i="14"/>
</calcChain>
</file>

<file path=xl/sharedStrings.xml><?xml version="1.0" encoding="utf-8"?>
<sst xmlns="http://schemas.openxmlformats.org/spreadsheetml/2006/main" count="474" uniqueCount="334">
  <si>
    <t>Итого</t>
  </si>
  <si>
    <t>Итого:</t>
  </si>
  <si>
    <t>Статья доходов</t>
  </si>
  <si>
    <t>Значение</t>
  </si>
  <si>
    <t>Статьи расходов</t>
  </si>
  <si>
    <t>Инвестиционный план проекта</t>
  </si>
  <si>
    <t>Направления инвестиционных вложений</t>
  </si>
  <si>
    <t>Справочно:</t>
  </si>
  <si>
    <t>Инвестиции накопленным итогом:</t>
  </si>
  <si>
    <t>Расчет налогов</t>
  </si>
  <si>
    <t>Налоги</t>
  </si>
  <si>
    <t>Налоговые ставки:</t>
  </si>
  <si>
    <t>%</t>
  </si>
  <si>
    <t>Статьи отчета о прибылях и убытках</t>
  </si>
  <si>
    <t>Чистая прибыль</t>
  </si>
  <si>
    <t>Параметры</t>
  </si>
  <si>
    <t>Финансовый анализ проекта</t>
  </si>
  <si>
    <t>Показатели рентабельности:</t>
  </si>
  <si>
    <t>Показатели основной деятельности</t>
  </si>
  <si>
    <t>Инвестиционный анализ</t>
  </si>
  <si>
    <t>Доходность по проекту</t>
  </si>
  <si>
    <t>Критерии эффективности проекта</t>
  </si>
  <si>
    <t>Чистый дисконтированный доход</t>
  </si>
  <si>
    <t>больше 0</t>
  </si>
  <si>
    <t>Индекс доходности</t>
  </si>
  <si>
    <t>больше 1</t>
  </si>
  <si>
    <t>Показатель</t>
  </si>
  <si>
    <t>Дисконтированные денежные потоки</t>
  </si>
  <si>
    <t>Параметры инвестиционного плана</t>
  </si>
  <si>
    <t>Значение при планируемой мощности</t>
  </si>
  <si>
    <t>1 год</t>
  </si>
  <si>
    <t>2 год</t>
  </si>
  <si>
    <t>3 год</t>
  </si>
  <si>
    <t>4 год</t>
  </si>
  <si>
    <t>5 год</t>
  </si>
  <si>
    <t>Данные по годам</t>
  </si>
  <si>
    <t>Проверка ВНД</t>
  </si>
  <si>
    <t>Итого с учетом амортизации</t>
  </si>
  <si>
    <t>Параметры расчета налогов</t>
  </si>
  <si>
    <t>Терминальная стоимость бизнеса</t>
  </si>
  <si>
    <t>Денежные потоки без учета схемы финансирования</t>
  </si>
  <si>
    <t>Прочие оборотные средства</t>
  </si>
  <si>
    <t>Расчет амортизации</t>
  </si>
  <si>
    <t>Имущество на балансе на начало отчетного периода</t>
  </si>
  <si>
    <t>Начисленная амортизация</t>
  </si>
  <si>
    <t>Введено основных средств</t>
  </si>
  <si>
    <t>Имущество на балансе на конец отчетного периода</t>
  </si>
  <si>
    <t>Параметры для расчета амортизации</t>
  </si>
  <si>
    <t>Структура затрат</t>
  </si>
  <si>
    <t>Анализ чувствительности</t>
  </si>
  <si>
    <t>ЧДД (без терминальной стоимости)</t>
  </si>
  <si>
    <t>ВНД</t>
  </si>
  <si>
    <t>EBITDA</t>
  </si>
  <si>
    <t>Простой срок окупаемости</t>
  </si>
  <si>
    <t>Дисконтированный срок окупаемости</t>
  </si>
  <si>
    <t xml:space="preserve"> </t>
  </si>
  <si>
    <t>Коэффициенты чувствительности</t>
  </si>
  <si>
    <t>Ставка дисконтирования</t>
  </si>
  <si>
    <t>все расчеты в тенге</t>
  </si>
  <si>
    <t>Расчеты кредита</t>
  </si>
  <si>
    <t>Кредитная ставка, годовая</t>
  </si>
  <si>
    <t>Кредитная ставка, месячная</t>
  </si>
  <si>
    <t>Итого выплаты по кредиту</t>
  </si>
  <si>
    <t>% по кредиту</t>
  </si>
  <si>
    <t>Доля заёмных средств, %</t>
  </si>
  <si>
    <t>Кредитные показатели</t>
  </si>
  <si>
    <t>%-ная ставка</t>
  </si>
  <si>
    <t>Всего уплаченных %</t>
  </si>
  <si>
    <t>Субсидированные %</t>
  </si>
  <si>
    <t>Срок кредита, мес.</t>
  </si>
  <si>
    <t>Потребность в кредитных средствах</t>
  </si>
  <si>
    <t>Получение кредитных средств</t>
  </si>
  <si>
    <t>% (условно)</t>
  </si>
  <si>
    <t>тело кредита (условно)</t>
  </si>
  <si>
    <t>Срок амортизации , лет</t>
  </si>
  <si>
    <t>Прочие параметры затрат</t>
  </si>
  <si>
    <t xml:space="preserve">Параметры для расчета </t>
  </si>
  <si>
    <t>NPV</t>
  </si>
  <si>
    <t>Изменение стоимости аренды вагонов</t>
  </si>
  <si>
    <t>Объём кредитных средств</t>
  </si>
  <si>
    <t>Расчет кредита</t>
  </si>
  <si>
    <t>Остаток долга после платежа</t>
  </si>
  <si>
    <t>Модель оценки CAPM</t>
  </si>
  <si>
    <t>Специфические риски</t>
  </si>
  <si>
    <t>Поправка на риск, %</t>
  </si>
  <si>
    <t>Безрисковая ставка (номинальная)</t>
  </si>
  <si>
    <t>https://www.treasury.gov/resource-center/data-chart-center/interest-rates/Pages/TextView.aspx?data=yieldYear&amp;year=2015</t>
  </si>
  <si>
    <t>Влияние государства на тарифы</t>
  </si>
  <si>
    <t>Рыночная премия</t>
  </si>
  <si>
    <t xml:space="preserve"> http://pages.stern.nyu.edu/~adamodar/</t>
  </si>
  <si>
    <t>Изменение цен на сырье, материалы, энергию, комплектующие, аренду</t>
  </si>
  <si>
    <t>Бездолговой коэффициент Бета</t>
  </si>
  <si>
    <t>www.damodaran.com</t>
  </si>
  <si>
    <t>Управленческий риск собственника/акционеров</t>
  </si>
  <si>
    <t>Предварительная стоимость собственного капитала</t>
  </si>
  <si>
    <t>Влияние ключевых поставщиков</t>
  </si>
  <si>
    <t>Премия за размер</t>
  </si>
  <si>
    <t>Влияние сезонности спроса на продукцию</t>
  </si>
  <si>
    <t>Специфический риск оцениваемой Компании</t>
  </si>
  <si>
    <t>Условия привлечения капитала</t>
  </si>
  <si>
    <t>Итого, поправка за специфический риск:</t>
  </si>
  <si>
    <t>Методика расчета ставки дисконтирования Виленского П.Л., Лившица В. Н., Смоляка С.А.</t>
  </si>
  <si>
    <t>Для проекта</t>
  </si>
  <si>
    <t>1. Необходимость проведения НИОКР (с заранее неизвестными результатами) силами специализированных научно-исследовательских и (или) проектных организаций:</t>
  </si>
  <si>
    <t>продолжительность НИОКР менее 1 года</t>
  </si>
  <si>
    <t>3-6%</t>
  </si>
  <si>
    <t>продолжительность НИОКР свыше 1 года:</t>
  </si>
  <si>
    <t>а) НИОКР выполняется силами одной специализированной организации</t>
  </si>
  <si>
    <t>7-15%</t>
  </si>
  <si>
    <t>б) НИОКР носит комплексный характер и выполняется силами нескольких специализированных организаций</t>
  </si>
  <si>
    <t>11-20%</t>
  </si>
  <si>
    <t>2. Характеристика применяемой технологии:</t>
  </si>
  <si>
    <t>Традиционная</t>
  </si>
  <si>
    <t>Новая</t>
  </si>
  <si>
    <t>2-5%</t>
  </si>
  <si>
    <t>3. Неопределенность объемов спроса и цен на производимую продукцию:</t>
  </si>
  <si>
    <t>существующую</t>
  </si>
  <si>
    <t>0-5%</t>
  </si>
  <si>
    <t>Новую</t>
  </si>
  <si>
    <t>5-10%</t>
  </si>
  <si>
    <t>4. Нестабильность (цикличность, сезонность) производства и спроса</t>
  </si>
  <si>
    <t>0-3%</t>
  </si>
  <si>
    <t>5. Неопределенность внешней среды при реализации проекта (горно-геологические, климатические и иные природные ус­ловия, агрессивность внешней среды и т.п.)</t>
  </si>
  <si>
    <t>6. Неопределенность процесса освоения применяемой техники или технологии. Наличие у участников возможности обеспечить соблюдение технологической дисциплины</t>
  </si>
  <si>
    <t>Расчетная ставка дисконтировния</t>
  </si>
  <si>
    <t>Кредит</t>
  </si>
  <si>
    <t>Параметры постоянных затрат</t>
  </si>
  <si>
    <t>Количество партий</t>
  </si>
  <si>
    <t>Аренда производственных помещений, кв. метров</t>
  </si>
  <si>
    <t>долл</t>
  </si>
  <si>
    <t>предполагаемая ставка аренды за 1м2</t>
  </si>
  <si>
    <t>затраты на маркетинг, в годначиная со второго</t>
  </si>
  <si>
    <t>Производственное оборудование</t>
  </si>
  <si>
    <t>Коэффициент чувствительности по цене реализации</t>
  </si>
  <si>
    <t>Коэффициент чувствительности по объему реализации</t>
  </si>
  <si>
    <t>Коэффициент чувтвительности по стоимости сырья</t>
  </si>
  <si>
    <t>Зависимость параметров проекта от стоимости сырья</t>
  </si>
  <si>
    <t>Изменение стоимости сырья</t>
  </si>
  <si>
    <t>чувствительность для цены</t>
  </si>
  <si>
    <t>чувствительность для объема</t>
  </si>
  <si>
    <t>Чувствительность по сырью</t>
  </si>
  <si>
    <t>По годам:</t>
  </si>
  <si>
    <t>курс грн/долл</t>
  </si>
  <si>
    <t>все расчеты в грн</t>
  </si>
  <si>
    <t>грн</t>
  </si>
  <si>
    <t>курс грн/EUR</t>
  </si>
  <si>
    <t>Оплата за водопостачання</t>
  </si>
  <si>
    <t>Канцтовари</t>
  </si>
  <si>
    <t>Реєстрація підприємства</t>
  </si>
  <si>
    <t>Оплата праці</t>
  </si>
  <si>
    <t>Амортизація</t>
  </si>
  <si>
    <t>ЄСВ</t>
  </si>
  <si>
    <t>Непередбачувані витрати</t>
  </si>
  <si>
    <t>Сумарно, в т.ч.</t>
  </si>
  <si>
    <t>1 рік</t>
  </si>
  <si>
    <t>2 рік</t>
  </si>
  <si>
    <t>3 рік</t>
  </si>
  <si>
    <t>Адміністратор</t>
  </si>
  <si>
    <t>Змінні витрати</t>
  </si>
  <si>
    <t>Постійні витрати</t>
  </si>
  <si>
    <t>Початковий маркетинг та позиціонування підприємства</t>
  </si>
  <si>
    <t>Інші</t>
  </si>
  <si>
    <t>Оборотні кошти</t>
  </si>
  <si>
    <t>Виручка</t>
  </si>
  <si>
    <t>Витрати</t>
  </si>
  <si>
    <t>Податки</t>
  </si>
  <si>
    <t>Прибуток до вирахування податків, % та амортизації (EBITDA)</t>
  </si>
  <si>
    <t>Прибуток</t>
  </si>
  <si>
    <t>Прибуток накопиченим ітогом</t>
  </si>
  <si>
    <t>Чистий прибуток</t>
  </si>
  <si>
    <t>Чистий прибуток накопиченим ітогом</t>
  </si>
  <si>
    <t>Читсий прибуток+амортизація</t>
  </si>
  <si>
    <t>Чистий прибуток+амортизація накопиченим ітогом</t>
  </si>
  <si>
    <t>Розрахунок точки беззбитковості</t>
  </si>
  <si>
    <t>Зиінні витрати</t>
  </si>
  <si>
    <t>Прибуток до вирахування податку на прибуток</t>
  </si>
  <si>
    <t>Значення точки беззбитковості:</t>
  </si>
  <si>
    <t>Точка беззбитковості, % реалізації продукції</t>
  </si>
  <si>
    <t>Точка беззбитковості, грн реалізації продукції</t>
  </si>
  <si>
    <t>Рентабельність активів</t>
  </si>
  <si>
    <t>Рентабельність реалізації продукції по EBITDA</t>
  </si>
  <si>
    <t xml:space="preserve">Рентабельність реалізації продукції по чистому прибутку </t>
  </si>
  <si>
    <t>Середній обсяг реалізації продукції грн/міс.</t>
  </si>
  <si>
    <t>Середній обсяг поточних витрат, грн/міс.</t>
  </si>
  <si>
    <t>EBITDA, грн/міс.</t>
  </si>
  <si>
    <t>Чистий прибуток, грн/міс.</t>
  </si>
  <si>
    <t>Грошовий потік, грн/міс.</t>
  </si>
  <si>
    <t>Грошовий потік за проєктом</t>
  </si>
  <si>
    <t>Інвестиції</t>
  </si>
  <si>
    <t>Грошовий потік накопиченим ітогом</t>
  </si>
  <si>
    <t>Розрахунок простого терміну окупності</t>
  </si>
  <si>
    <t>Коефіцієнт дисконтування</t>
  </si>
  <si>
    <t>Дисконтований гршовий потік</t>
  </si>
  <si>
    <t>Дисконтовані інвестиції</t>
  </si>
  <si>
    <t xml:space="preserve">Дисконтований грошовий потік, накопиченим ітогом </t>
  </si>
  <si>
    <t xml:space="preserve">Розрахунок дисконтованого терміну окупності </t>
  </si>
  <si>
    <t>Норма дисконту</t>
  </si>
  <si>
    <t>Ставка дисконту % на міс.</t>
  </si>
  <si>
    <t>PB (Простий термін окупності), міс.</t>
  </si>
  <si>
    <t>PB (Простий термін окупності), роки</t>
  </si>
  <si>
    <t>DPB (Дисконтований термін окупності), міс.</t>
  </si>
  <si>
    <t>DPB (Дисконтований термін окупності), роки</t>
  </si>
  <si>
    <t>PI (Індекс доходності за проєктом)</t>
  </si>
  <si>
    <t>Доходність за проєктом</t>
  </si>
  <si>
    <t>IRR (Внутрішня норма доходності), % на міс.</t>
  </si>
  <si>
    <t>IRR (Внутрішня норма доходності), % на рік</t>
  </si>
  <si>
    <t>NPV (Чистий дисконтований дохід)</t>
  </si>
  <si>
    <t>NPV (Чистий дисконтований дохід) з урахуванням вартості бізнесу</t>
  </si>
  <si>
    <t>Чистий грошовий потік, рік</t>
  </si>
  <si>
    <t>Довготерміновий темп росту</t>
  </si>
  <si>
    <t>Термінальна вартість бізнесу</t>
  </si>
  <si>
    <t>NPV (Чистий дисконтований дохід) з урахуванням продажу бізнесу</t>
  </si>
  <si>
    <t>Фінансова модель</t>
  </si>
  <si>
    <t>Назва Вашого проєкту</t>
  </si>
  <si>
    <t>Розрахунок в поточних цінах</t>
  </si>
  <si>
    <t>- дані в таких ячейках можна змінювати</t>
  </si>
  <si>
    <t>- дата початку реалізації проєкту</t>
  </si>
  <si>
    <t>Показники ефективності проєкту</t>
  </si>
  <si>
    <t>Показники основної діяльності</t>
  </si>
  <si>
    <t>Середні значення за проєктом</t>
  </si>
  <si>
    <t>Показники продаж</t>
  </si>
  <si>
    <t>Величина операційного важеля</t>
  </si>
  <si>
    <t>Точка беззбитковості, грн в середньому на міс.</t>
  </si>
  <si>
    <t>Значення за проєктом</t>
  </si>
  <si>
    <t>Оборотність активів</t>
  </si>
  <si>
    <t xml:space="preserve">Оборотність </t>
  </si>
  <si>
    <t>Термін прогнозу, міс.</t>
  </si>
  <si>
    <t>Ставка дисконтування</t>
  </si>
  <si>
    <t>Загальний обсяг фінансування проєкту</t>
  </si>
  <si>
    <t>Чистий грошовий потік</t>
  </si>
  <si>
    <t>Виручка без ПДВ</t>
  </si>
  <si>
    <t>ПДВ</t>
  </si>
  <si>
    <t>Рост ринку</t>
  </si>
  <si>
    <t>Сезонність</t>
  </si>
  <si>
    <t>Прогноз доходів</t>
  </si>
  <si>
    <t>Параметри доходної частини</t>
  </si>
  <si>
    <t>Вартість товару, грн</t>
  </si>
  <si>
    <t>к-сть, шт</t>
  </si>
  <si>
    <t>реализация на місяць</t>
  </si>
  <si>
    <t>Посада</t>
  </si>
  <si>
    <t>Заробітна плата</t>
  </si>
  <si>
    <t>Заробітна плата із податком</t>
  </si>
  <si>
    <t>Кількість працівників</t>
  </si>
  <si>
    <t>Оплата праці, всього</t>
  </si>
  <si>
    <t>Інші непердбачувані витрати</t>
  </si>
  <si>
    <t xml:space="preserve">Внески у позабюджетні фонди </t>
  </si>
  <si>
    <t>Дані по роках</t>
  </si>
  <si>
    <t>Дисконтований грошовий потік</t>
  </si>
  <si>
    <t>Звіт про фінансові результати</t>
  </si>
  <si>
    <t xml:space="preserve">Статті звіту про прибутки та збитки </t>
  </si>
  <si>
    <t>Всього</t>
  </si>
  <si>
    <t>Усі розрахунки в грн.</t>
  </si>
  <si>
    <t>1. Надходження від операційної діяльності:</t>
  </si>
  <si>
    <t>2. Платежі по операційній діяльності:</t>
  </si>
  <si>
    <t>Сальдо від операційної діяльності</t>
  </si>
  <si>
    <t>Сальдо накопиченим ітогом</t>
  </si>
  <si>
    <t>Звіт про рух грошових коштів</t>
  </si>
  <si>
    <t>Інвестиційна діяльність</t>
  </si>
  <si>
    <t>1. Надходження від інвестиційної діяльності:</t>
  </si>
  <si>
    <t>2. Платежі по інвестиційній діяльності:</t>
  </si>
  <si>
    <t>Сальдо інвестиційної діяльності</t>
  </si>
  <si>
    <t>Операційна діяльність</t>
  </si>
  <si>
    <t>усі розрахунки в грн</t>
  </si>
  <si>
    <t>Фінансова діяльність</t>
  </si>
  <si>
    <t>1. Надходження від фінансової діяльності:</t>
  </si>
  <si>
    <t>Потреба у фіннасуванні</t>
  </si>
  <si>
    <t>Внесок в капітал компанії</t>
  </si>
  <si>
    <t xml:space="preserve">Внесок засновника для покриття дод. потреби в оборотному капіталі </t>
  </si>
  <si>
    <t>Субсидування % по кредиту</t>
  </si>
  <si>
    <t>2. Платежі по фінансовій діяльності:</t>
  </si>
  <si>
    <t>Тіло кредиту</t>
  </si>
  <si>
    <t>Сальдо финансової діяльності</t>
  </si>
  <si>
    <t>Залишок ГЗ (грошей) на початок періоду</t>
  </si>
  <si>
    <t>Всього надходжень</t>
  </si>
  <si>
    <t>Всього витрат</t>
  </si>
  <si>
    <t>Залишок ГЗ на кінець періоду</t>
  </si>
  <si>
    <t>Грошовий потік від проєкту</t>
  </si>
  <si>
    <t>Основна діяльність</t>
  </si>
  <si>
    <t>Сума, грн</t>
  </si>
  <si>
    <t>Розшифровка витратє</t>
  </si>
  <si>
    <t>Потреба в фінансуванні</t>
  </si>
  <si>
    <t>Загальна потреба в фінансуванні</t>
  </si>
  <si>
    <t>Власні кошти інвестора</t>
  </si>
  <si>
    <t>Показники рентабельності</t>
  </si>
  <si>
    <t>Показники оборотності</t>
  </si>
  <si>
    <t>Інвестиційні показники</t>
  </si>
  <si>
    <t>Параметри витратної частини</t>
  </si>
  <si>
    <t>Параметри змінних витрат</t>
  </si>
  <si>
    <t>Прогноз витрат</t>
  </si>
  <si>
    <t>Статті витрат</t>
  </si>
  <si>
    <t>всі розрахунки у грн</t>
  </si>
  <si>
    <t>Поліграфія</t>
  </si>
  <si>
    <t>Адміністративні витрати</t>
  </si>
  <si>
    <t>Оплата за користування доменом</t>
  </si>
  <si>
    <t>Витрати на реставрацію та підтримку колекції</t>
  </si>
  <si>
    <t>Побутова хімія та інвентрар для прибирання</t>
  </si>
  <si>
    <t>Послуги еквайрингу</t>
  </si>
  <si>
    <t>Страхові внески</t>
  </si>
  <si>
    <t>Витрати на послуги зв'язку та охорони</t>
  </si>
  <si>
    <t>Виробництво сувенірної продукції</t>
  </si>
  <si>
    <t>Витрати на тематичні вечірки</t>
  </si>
  <si>
    <t>Директор</t>
  </si>
  <si>
    <t>Музейний експерт</t>
  </si>
  <si>
    <t>Екскурсовод</t>
  </si>
  <si>
    <t>Куратор квест кімнати</t>
  </si>
  <si>
    <t>Контент-менеджер</t>
  </si>
  <si>
    <t>Технічний персонал</t>
  </si>
  <si>
    <t>Екскурсії</t>
  </si>
  <si>
    <t>Квест кімната</t>
  </si>
  <si>
    <t>Магніти</t>
  </si>
  <si>
    <t>Фото</t>
  </si>
  <si>
    <t>Відео</t>
  </si>
  <si>
    <t>Брелки</t>
  </si>
  <si>
    <t>Листівки</t>
  </si>
  <si>
    <t>Тематичні вечірки</t>
  </si>
  <si>
    <t xml:space="preserve">   Оренда</t>
  </si>
  <si>
    <t>Оплата за електроенергію</t>
  </si>
  <si>
    <t>Реклама в пошуку Google</t>
  </si>
  <si>
    <t>Обробка і ремонт приміщення</t>
  </si>
  <si>
    <t>Закупівля музейних експонатів та установочні роботи</t>
  </si>
  <si>
    <t>Інвентар для музею</t>
  </si>
  <si>
    <t>Онлайн екскурсії</t>
  </si>
  <si>
    <t>Оплата бухгалтера на аутсорсі</t>
  </si>
  <si>
    <t>Витрати на онлайн екскурсії</t>
  </si>
  <si>
    <t>ПП</t>
  </si>
  <si>
    <t>Розрахунок ФОП</t>
  </si>
  <si>
    <t>4 рік</t>
  </si>
  <si>
    <t>5 рік</t>
  </si>
  <si>
    <t>1-й рік</t>
  </si>
  <si>
    <t>2-й рік</t>
  </si>
  <si>
    <t>3-й рік</t>
  </si>
  <si>
    <t>4-й рік</t>
  </si>
  <si>
    <t>5-й рік</t>
  </si>
  <si>
    <t>Позичені гроші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</si>
</sst>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_-* #,##0.00\ _г_р_н_._-;\-* #,##0.00\ _г_р_н_._-;_-* &quot;-&quot;??\ _г_р_н_._-;_-@_-"/>
    <numFmt numFmtId="166" formatCode="#,##0&quot;р.&quot;"/>
    <numFmt numFmtId="167" formatCode="0.0%"/>
    <numFmt numFmtId="168" formatCode="#,##0.0"/>
    <numFmt numFmtId="169" formatCode="0.0"/>
    <numFmt numFmtId="170" formatCode="#,##0_р_."/>
    <numFmt numFmtId="171" formatCode="_-* #,##0\ _г_р_н_._-;\-* #,##0\ _г_р_н_._-;_-* &quot;-&quot;??\ _г_р_н_._-;_-@_-"/>
    <numFmt numFmtId="172" formatCode="[$Т-43F]#,##0"/>
    <numFmt numFmtId="173" formatCode="0.0000%"/>
    <numFmt numFmtId="174" formatCode="#,##0.000"/>
  </numFmts>
  <fonts count="6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18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color indexed="18"/>
      <name val="Arial"/>
      <family val="2"/>
      <charset val="204"/>
    </font>
    <font>
      <b/>
      <i/>
      <sz val="10"/>
      <color indexed="18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i/>
      <sz val="9"/>
      <color indexed="18"/>
      <name val="Arial Cyr"/>
      <charset val="204"/>
    </font>
    <font>
      <b/>
      <i/>
      <sz val="9"/>
      <color indexed="18"/>
      <name val="Arial Cyr"/>
      <charset val="204"/>
    </font>
    <font>
      <b/>
      <sz val="10"/>
      <name val="Arial Cyr"/>
      <charset val="204"/>
    </font>
    <font>
      <b/>
      <sz val="8"/>
      <name val="Arial"/>
      <family val="2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i/>
      <sz val="9"/>
      <name val="Arial Cyr"/>
      <charset val="204"/>
    </font>
    <font>
      <i/>
      <sz val="9"/>
      <name val="Arial"/>
      <family val="2"/>
      <charset val="204"/>
    </font>
    <font>
      <b/>
      <i/>
      <sz val="9"/>
      <name val="Arial Cyr"/>
      <charset val="204"/>
    </font>
    <font>
      <b/>
      <sz val="9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b/>
      <i/>
      <sz val="9"/>
      <name val="Arial"/>
      <family val="2"/>
      <charset val="204"/>
    </font>
    <font>
      <i/>
      <sz val="10"/>
      <name val="Arial Cyr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8"/>
      <name val="Tahoma"/>
      <family val="2"/>
      <charset val="204"/>
    </font>
    <font>
      <sz val="10"/>
      <name val="Arial"/>
      <family val="2"/>
      <charset val="1"/>
    </font>
    <font>
      <b/>
      <sz val="12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b/>
      <sz val="8"/>
      <color theme="0" tint="-0.499984740745262"/>
      <name val="Tahoma"/>
      <family val="2"/>
      <charset val="204"/>
    </font>
    <font>
      <b/>
      <sz val="9"/>
      <color theme="0" tint="-0.499984740745262"/>
      <name val="Arial"/>
      <family val="2"/>
      <charset val="204"/>
    </font>
    <font>
      <sz val="10"/>
      <color theme="0" tint="-0.499984740745262"/>
      <name val="Arial Cyr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9"/>
      <color rgb="FFFF000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18"/>
      <name val="Arial"/>
      <family val="2"/>
      <charset val="204"/>
    </font>
    <font>
      <sz val="10"/>
      <color theme="0"/>
      <name val="Arial Cyr"/>
      <charset val="204"/>
    </font>
    <font>
      <sz val="10"/>
      <color theme="8" tint="0.39997558519241921"/>
      <name val="Arial"/>
      <family val="2"/>
      <charset val="204"/>
    </font>
    <font>
      <b/>
      <sz val="11"/>
      <name val="Calibri"/>
      <family val="2"/>
      <charset val="204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0"/>
      <color rgb="FFFF00FF"/>
      <name val="Arial Cyr"/>
      <charset val="204"/>
    </font>
    <font>
      <sz val="10"/>
      <color rgb="FFFF00FF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28"/>
      <name val="Calibri"/>
      <family val="2"/>
      <charset val="204"/>
    </font>
    <font>
      <b/>
      <i/>
      <sz val="11"/>
      <color indexed="28"/>
      <name val="Calibri"/>
      <family val="2"/>
      <charset val="204"/>
    </font>
    <font>
      <b/>
      <sz val="10"/>
      <color rgb="FFFF0000"/>
      <name val="Arial Cyr"/>
      <charset val="204"/>
    </font>
    <font>
      <u/>
      <sz val="11"/>
      <name val="Verdana"/>
      <family val="2"/>
      <charset val="204"/>
    </font>
    <font>
      <u/>
      <sz val="10"/>
      <color theme="10"/>
      <name val="Arial Cyr"/>
      <charset val="204"/>
    </font>
    <font>
      <sz val="9"/>
      <color theme="0"/>
      <name val="Arial"/>
      <family val="2"/>
      <charset val="204"/>
    </font>
    <font>
      <b/>
      <sz val="14"/>
      <color theme="0"/>
      <name val="Arial"/>
      <family val="2"/>
      <charset val="204"/>
    </font>
    <font>
      <sz val="9"/>
      <color theme="0"/>
      <name val="Arial Cyr"/>
      <charset val="204"/>
    </font>
    <font>
      <b/>
      <i/>
      <sz val="9"/>
      <color theme="1"/>
      <name val="Arial Cyr"/>
      <charset val="204"/>
    </font>
    <font>
      <sz val="9"/>
      <color theme="1"/>
      <name val="Arial"/>
      <family val="2"/>
      <charset val="204"/>
    </font>
    <font>
      <sz val="1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7FE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FFC5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D5C0"/>
        <bgColor rgb="FF000000"/>
      </patternFill>
    </fill>
    <fill>
      <patternFill patternType="solid">
        <fgColor theme="0"/>
        <bgColor rgb="FF000000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medium">
        <color theme="1" tint="0.24994659260841701"/>
      </left>
      <right style="medium">
        <color theme="1" tint="0.24994659260841701"/>
      </right>
      <top style="medium">
        <color theme="1" tint="0.24994659260841701"/>
      </top>
      <bottom style="hair">
        <color indexed="64"/>
      </bottom>
      <diagonal/>
    </border>
    <border>
      <left style="medium">
        <color theme="1" tint="0.24994659260841701"/>
      </left>
      <right style="medium">
        <color theme="1" tint="0.24994659260841701"/>
      </right>
      <top style="hair">
        <color indexed="64"/>
      </top>
      <bottom style="hair">
        <color indexed="64"/>
      </bottom>
      <diagonal/>
    </border>
    <border>
      <left style="medium">
        <color theme="1" tint="0.24994659260841701"/>
      </left>
      <right style="medium">
        <color theme="1" tint="0.24994659260841701"/>
      </right>
      <top style="hair">
        <color indexed="64"/>
      </top>
      <bottom/>
      <diagonal/>
    </border>
    <border>
      <left style="medium">
        <color theme="1" tint="0.24994659260841701"/>
      </left>
      <right/>
      <top style="medium">
        <color theme="1" tint="0.24994659260841701"/>
      </top>
      <bottom style="medium">
        <color theme="1" tint="0.24994659260841701"/>
      </bottom>
      <diagonal/>
    </border>
    <border>
      <left/>
      <right/>
      <top style="medium">
        <color theme="1" tint="0.24994659260841701"/>
      </top>
      <bottom style="medium">
        <color theme="1" tint="0.24994659260841701"/>
      </bottom>
      <diagonal/>
    </border>
    <border>
      <left style="medium">
        <color theme="1" tint="0.24994659260841701"/>
      </left>
      <right style="medium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 style="medium">
        <color theme="1" tint="0.24994659260841701"/>
      </left>
      <right style="medium">
        <color theme="1" tint="0.24994659260841701"/>
      </right>
      <top/>
      <bottom style="hair">
        <color indexed="64"/>
      </bottom>
      <diagonal/>
    </border>
    <border>
      <left style="medium">
        <color theme="1" tint="0.24994659260841701"/>
      </left>
      <right style="medium">
        <color theme="1" tint="0.24994659260841701"/>
      </right>
      <top style="hair">
        <color indexed="64"/>
      </top>
      <bottom style="medium">
        <color theme="1" tint="0.24994659260841701"/>
      </bottom>
      <diagonal/>
    </border>
    <border>
      <left style="medium">
        <color theme="1" tint="0.24994659260841701"/>
      </left>
      <right style="hair">
        <color indexed="64"/>
      </right>
      <top style="medium">
        <color theme="1" tint="0.24994659260841701"/>
      </top>
      <bottom style="medium">
        <color theme="1" tint="0.24994659260841701"/>
      </bottom>
      <diagonal/>
    </border>
    <border>
      <left style="hair">
        <color indexed="64"/>
      </left>
      <right style="hair">
        <color indexed="64"/>
      </right>
      <top style="medium">
        <color theme="1" tint="0.24994659260841701"/>
      </top>
      <bottom style="medium">
        <color theme="1" tint="0.24994659260841701"/>
      </bottom>
      <diagonal/>
    </border>
    <border>
      <left style="hair">
        <color indexed="64"/>
      </left>
      <right/>
      <top style="medium">
        <color theme="1" tint="0.24994659260841701"/>
      </top>
      <bottom style="medium">
        <color theme="1" tint="0.24994659260841701"/>
      </bottom>
      <diagonal/>
    </border>
    <border>
      <left/>
      <right style="hair">
        <color indexed="64"/>
      </right>
      <top style="medium">
        <color theme="1" tint="0.24994659260841701"/>
      </top>
      <bottom style="medium">
        <color theme="1" tint="0.24994659260841701"/>
      </bottom>
      <diagonal/>
    </border>
    <border>
      <left style="hair">
        <color indexed="64"/>
      </left>
      <right style="medium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dotted">
        <color rgb="FF002060"/>
      </left>
      <right/>
      <top/>
      <bottom/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/>
      <diagonal/>
    </border>
    <border>
      <left style="hair">
        <color theme="1" tint="0.24994659260841701"/>
      </left>
      <right style="hair">
        <color theme="1" tint="0.24994659260841701"/>
      </right>
      <top/>
      <bottom style="hair">
        <color theme="1" tint="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theme="1" tint="0.24994659260841701"/>
      </left>
      <right style="hair">
        <color theme="1" tint="0.2499465926084170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/>
      <right/>
      <top/>
      <bottom style="hair">
        <color theme="1"/>
      </bottom>
      <diagonal/>
    </border>
  </borders>
  <cellStyleXfs count="10">
    <xf numFmtId="0" fontId="0" fillId="0" borderId="0"/>
    <xf numFmtId="0" fontId="29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0"/>
    <xf numFmtId="0" fontId="54" fillId="0" borderId="0" applyNumberFormat="0" applyFill="0" applyBorder="0" applyAlignment="0" applyProtection="0"/>
  </cellStyleXfs>
  <cellXfs count="452">
    <xf numFmtId="0" fontId="0" fillId="0" borderId="0" xfId="0"/>
    <xf numFmtId="166" fontId="6" fillId="0" borderId="0" xfId="0" applyNumberFormat="1" applyFont="1" applyBorder="1"/>
    <xf numFmtId="0" fontId="3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11" fillId="0" borderId="0" xfId="0" applyFont="1"/>
    <xf numFmtId="0" fontId="9" fillId="0" borderId="0" xfId="0" applyFont="1"/>
    <xf numFmtId="0" fontId="10" fillId="2" borderId="0" xfId="3" applyFont="1" applyFill="1"/>
    <xf numFmtId="0" fontId="12" fillId="0" borderId="0" xfId="0" applyFont="1"/>
    <xf numFmtId="0" fontId="13" fillId="0" borderId="0" xfId="0" applyFont="1"/>
    <xf numFmtId="0" fontId="8" fillId="0" borderId="0" xfId="0" applyFont="1"/>
    <xf numFmtId="0" fontId="12" fillId="0" borderId="0" xfId="0" applyFont="1" applyBorder="1"/>
    <xf numFmtId="3" fontId="12" fillId="0" borderId="0" xfId="0" applyNumberFormat="1" applyFont="1" applyBorder="1"/>
    <xf numFmtId="10" fontId="0" fillId="0" borderId="0" xfId="0" applyNumberFormat="1"/>
    <xf numFmtId="0" fontId="0" fillId="0" borderId="0" xfId="0" applyFont="1"/>
    <xf numFmtId="0" fontId="5" fillId="0" borderId="0" xfId="0" applyFont="1"/>
    <xf numFmtId="0" fontId="16" fillId="0" borderId="0" xfId="0" applyFont="1"/>
    <xf numFmtId="0" fontId="7" fillId="0" borderId="0" xfId="0" applyFont="1"/>
    <xf numFmtId="0" fontId="17" fillId="0" borderId="1" xfId="0" applyFont="1" applyBorder="1" applyAlignment="1">
      <alignment horizontal="left"/>
    </xf>
    <xf numFmtId="0" fontId="19" fillId="0" borderId="2" xfId="0" applyFont="1" applyBorder="1"/>
    <xf numFmtId="3" fontId="19" fillId="0" borderId="15" xfId="0" applyNumberFormat="1" applyFont="1" applyBorder="1" applyAlignment="1">
      <alignment horizontal="center"/>
    </xf>
    <xf numFmtId="0" fontId="19" fillId="0" borderId="2" xfId="0" applyFont="1" applyBorder="1" applyAlignment="1">
      <alignment horizontal="left" indent="2"/>
    </xf>
    <xf numFmtId="0" fontId="20" fillId="4" borderId="2" xfId="3" applyFont="1" applyFill="1" applyBorder="1" applyAlignment="1">
      <alignment horizontal="left"/>
    </xf>
    <xf numFmtId="17" fontId="20" fillId="4" borderId="2" xfId="3" applyNumberFormat="1" applyFont="1" applyFill="1" applyBorder="1" applyAlignment="1">
      <alignment horizontal="center"/>
    </xf>
    <xf numFmtId="0" fontId="20" fillId="4" borderId="16" xfId="3" applyFont="1" applyFill="1" applyBorder="1" applyAlignment="1">
      <alignment horizontal="left"/>
    </xf>
    <xf numFmtId="17" fontId="20" fillId="4" borderId="16" xfId="3" applyNumberFormat="1" applyFont="1" applyFill="1" applyBorder="1" applyAlignment="1">
      <alignment horizontal="center"/>
    </xf>
    <xf numFmtId="167" fontId="18" fillId="3" borderId="2" xfId="4" applyNumberFormat="1" applyFont="1" applyFill="1" applyBorder="1" applyAlignment="1">
      <alignment horizontal="center"/>
    </xf>
    <xf numFmtId="0" fontId="22" fillId="2" borderId="0" xfId="3" applyFont="1" applyFill="1" applyBorder="1"/>
    <xf numFmtId="0" fontId="21" fillId="4" borderId="0" xfId="0" applyFont="1" applyFill="1" applyBorder="1"/>
    <xf numFmtId="0" fontId="23" fillId="2" borderId="0" xfId="4" applyFont="1" applyFill="1" applyBorder="1"/>
    <xf numFmtId="0" fontId="2" fillId="2" borderId="0" xfId="4" applyFont="1" applyFill="1"/>
    <xf numFmtId="0" fontId="22" fillId="5" borderId="0" xfId="3" applyFont="1" applyFill="1" applyBorder="1"/>
    <xf numFmtId="0" fontId="20" fillId="4" borderId="2" xfId="4" applyFont="1" applyFill="1" applyBorder="1"/>
    <xf numFmtId="17" fontId="20" fillId="4" borderId="2" xfId="4" applyNumberFormat="1" applyFont="1" applyFill="1" applyBorder="1" applyAlignment="1">
      <alignment horizontal="center"/>
    </xf>
    <xf numFmtId="3" fontId="20" fillId="4" borderId="2" xfId="4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left"/>
    </xf>
    <xf numFmtId="0" fontId="18" fillId="0" borderId="16" xfId="0" applyFont="1" applyBorder="1"/>
    <xf numFmtId="3" fontId="18" fillId="0" borderId="16" xfId="0" applyNumberFormat="1" applyFont="1" applyBorder="1" applyAlignment="1">
      <alignment horizontal="center"/>
    </xf>
    <xf numFmtId="0" fontId="10" fillId="0" borderId="16" xfId="0" applyFont="1" applyBorder="1"/>
    <xf numFmtId="166" fontId="0" fillId="0" borderId="0" xfId="0" applyNumberFormat="1" applyFont="1"/>
    <xf numFmtId="0" fontId="26" fillId="2" borderId="0" xfId="3" applyFont="1" applyFill="1" applyBorder="1"/>
    <xf numFmtId="3" fontId="18" fillId="3" borderId="16" xfId="4" applyNumberFormat="1" applyFont="1" applyFill="1" applyBorder="1" applyAlignment="1">
      <alignment horizontal="center"/>
    </xf>
    <xf numFmtId="0" fontId="17" fillId="5" borderId="16" xfId="0" applyFont="1" applyFill="1" applyBorder="1"/>
    <xf numFmtId="0" fontId="23" fillId="4" borderId="0" xfId="0" applyFont="1" applyFill="1" applyBorder="1"/>
    <xf numFmtId="0" fontId="20" fillId="4" borderId="16" xfId="0" applyFont="1" applyFill="1" applyBorder="1" applyAlignment="1">
      <alignment horizontal="left"/>
    </xf>
    <xf numFmtId="17" fontId="20" fillId="4" borderId="16" xfId="0" applyNumberFormat="1" applyFont="1" applyFill="1" applyBorder="1" applyAlignment="1">
      <alignment horizontal="center"/>
    </xf>
    <xf numFmtId="0" fontId="20" fillId="4" borderId="16" xfId="3" applyFont="1" applyFill="1" applyBorder="1" applyAlignment="1">
      <alignment horizontal="left" vertical="center" wrapText="1"/>
    </xf>
    <xf numFmtId="0" fontId="20" fillId="4" borderId="16" xfId="3" applyFont="1" applyFill="1" applyBorder="1" applyAlignment="1">
      <alignment horizontal="center" vertical="center" wrapText="1"/>
    </xf>
    <xf numFmtId="0" fontId="20" fillId="4" borderId="16" xfId="0" applyFont="1" applyFill="1" applyBorder="1"/>
    <xf numFmtId="3" fontId="20" fillId="4" borderId="16" xfId="0" applyNumberFormat="1" applyFont="1" applyFill="1" applyBorder="1" applyAlignment="1">
      <alignment horizontal="center"/>
    </xf>
    <xf numFmtId="0" fontId="10" fillId="4" borderId="16" xfId="0" applyFont="1" applyFill="1" applyBorder="1"/>
    <xf numFmtId="0" fontId="18" fillId="0" borderId="2" xfId="0" applyFont="1" applyBorder="1"/>
    <xf numFmtId="3" fontId="18" fillId="0" borderId="2" xfId="0" applyNumberFormat="1" applyFont="1" applyBorder="1" applyAlignment="1">
      <alignment horizontal="center"/>
    </xf>
    <xf numFmtId="0" fontId="2" fillId="2" borderId="0" xfId="0" applyFont="1" applyFill="1"/>
    <xf numFmtId="0" fontId="20" fillId="4" borderId="2" xfId="0" applyFont="1" applyFill="1" applyBorder="1" applyAlignment="1">
      <alignment horizontal="left"/>
    </xf>
    <xf numFmtId="17" fontId="20" fillId="4" borderId="2" xfId="0" applyNumberFormat="1" applyFont="1" applyFill="1" applyBorder="1" applyAlignment="1">
      <alignment horizontal="center"/>
    </xf>
    <xf numFmtId="3" fontId="20" fillId="4" borderId="2" xfId="0" applyNumberFormat="1" applyFont="1" applyFill="1" applyBorder="1" applyAlignment="1">
      <alignment horizontal="center"/>
    </xf>
    <xf numFmtId="0" fontId="20" fillId="4" borderId="16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8" fillId="0" borderId="16" xfId="0" applyFont="1" applyBorder="1" applyAlignment="1">
      <alignment horizontal="left" indent="1"/>
    </xf>
    <xf numFmtId="0" fontId="24" fillId="0" borderId="16" xfId="0" applyFont="1" applyBorder="1"/>
    <xf numFmtId="0" fontId="20" fillId="4" borderId="2" xfId="2" applyFont="1" applyFill="1" applyBorder="1" applyAlignment="1">
      <alignment horizontal="left" vertical="center" wrapText="1"/>
    </xf>
    <xf numFmtId="17" fontId="20" fillId="4" borderId="2" xfId="2" applyNumberFormat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left" vertical="center" wrapText="1"/>
    </xf>
    <xf numFmtId="17" fontId="20" fillId="4" borderId="16" xfId="2" applyNumberFormat="1" applyFont="1" applyFill="1" applyBorder="1" applyAlignment="1">
      <alignment horizontal="center" vertical="center" wrapText="1"/>
    </xf>
    <xf numFmtId="0" fontId="28" fillId="6" borderId="16" xfId="0" applyFont="1" applyFill="1" applyBorder="1" applyAlignment="1">
      <alignment horizontal="left" vertical="center"/>
    </xf>
    <xf numFmtId="3" fontId="20" fillId="4" borderId="16" xfId="2" applyNumberFormat="1" applyFont="1" applyFill="1" applyBorder="1" applyAlignment="1">
      <alignment horizontal="center"/>
    </xf>
    <xf numFmtId="3" fontId="15" fillId="6" borderId="16" xfId="0" applyNumberFormat="1" applyFont="1" applyFill="1" applyBorder="1" applyAlignment="1">
      <alignment horizontal="center"/>
    </xf>
    <xf numFmtId="0" fontId="28" fillId="6" borderId="2" xfId="0" applyFont="1" applyFill="1" applyBorder="1" applyAlignment="1">
      <alignment horizontal="left" vertical="center"/>
    </xf>
    <xf numFmtId="3" fontId="20" fillId="6" borderId="2" xfId="2" applyNumberFormat="1" applyFont="1" applyFill="1" applyBorder="1" applyAlignment="1">
      <alignment horizontal="center"/>
    </xf>
    <xf numFmtId="166" fontId="20" fillId="4" borderId="2" xfId="2" applyNumberFormat="1" applyFont="1" applyFill="1" applyBorder="1" applyAlignment="1">
      <alignment horizontal="left" indent="1"/>
    </xf>
    <xf numFmtId="3" fontId="20" fillId="4" borderId="2" xfId="2" applyNumberFormat="1" applyFont="1" applyFill="1" applyBorder="1" applyAlignment="1">
      <alignment horizontal="center"/>
    </xf>
    <xf numFmtId="3" fontId="20" fillId="4" borderId="16" xfId="2" applyNumberFormat="1" applyFont="1" applyFill="1" applyBorder="1" applyAlignment="1">
      <alignment horizontal="left" wrapText="1"/>
    </xf>
    <xf numFmtId="3" fontId="20" fillId="4" borderId="2" xfId="2" applyNumberFormat="1" applyFont="1" applyFill="1" applyBorder="1" applyAlignment="1">
      <alignment wrapText="1"/>
    </xf>
    <xf numFmtId="166" fontId="2" fillId="0" borderId="0" xfId="0" applyNumberFormat="1" applyFont="1"/>
    <xf numFmtId="0" fontId="10" fillId="0" borderId="2" xfId="0" applyFont="1" applyBorder="1"/>
    <xf numFmtId="9" fontId="2" fillId="0" borderId="0" xfId="5" applyFont="1"/>
    <xf numFmtId="0" fontId="10" fillId="0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center"/>
    </xf>
    <xf numFmtId="0" fontId="20" fillId="4" borderId="2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center" vertical="center" wrapText="1"/>
    </xf>
    <xf numFmtId="9" fontId="20" fillId="4" borderId="2" xfId="0" applyNumberFormat="1" applyFont="1" applyFill="1" applyBorder="1" applyAlignment="1">
      <alignment horizontal="center" vertical="center" wrapText="1"/>
    </xf>
    <xf numFmtId="0" fontId="20" fillId="4" borderId="2" xfId="0" applyFont="1" applyFill="1" applyBorder="1"/>
    <xf numFmtId="0" fontId="20" fillId="4" borderId="16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center" vertical="center" wrapText="1"/>
    </xf>
    <xf numFmtId="17" fontId="20" fillId="4" borderId="16" xfId="0" applyNumberFormat="1" applyFont="1" applyFill="1" applyBorder="1" applyAlignment="1">
      <alignment horizontal="center" vertical="center" wrapText="1"/>
    </xf>
    <xf numFmtId="17" fontId="20" fillId="4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0" fillId="0" borderId="2" xfId="0" applyFont="1" applyFill="1" applyBorder="1"/>
    <xf numFmtId="166" fontId="2" fillId="0" borderId="0" xfId="0" applyNumberFormat="1" applyFont="1" applyFill="1"/>
    <xf numFmtId="1" fontId="14" fillId="4" borderId="16" xfId="0" applyNumberFormat="1" applyFont="1" applyFill="1" applyBorder="1" applyAlignment="1">
      <alignment horizontal="center" vertical="center" wrapText="1"/>
    </xf>
    <xf numFmtId="1" fontId="20" fillId="4" borderId="2" xfId="0" applyNumberFormat="1" applyFont="1" applyFill="1" applyBorder="1" applyAlignment="1">
      <alignment horizontal="center" vertical="center" wrapText="1"/>
    </xf>
    <xf numFmtId="0" fontId="27" fillId="0" borderId="0" xfId="0" applyFont="1" applyBorder="1"/>
    <xf numFmtId="0" fontId="17" fillId="0" borderId="17" xfId="0" applyFont="1" applyBorder="1"/>
    <xf numFmtId="17" fontId="20" fillId="4" borderId="2" xfId="0" applyNumberFormat="1" applyFont="1" applyFill="1" applyBorder="1" applyAlignment="1">
      <alignment horizontal="center" vertical="center" wrapText="1"/>
    </xf>
    <xf numFmtId="166" fontId="20" fillId="4" borderId="16" xfId="2" applyNumberFormat="1" applyFont="1" applyFill="1" applyBorder="1" applyAlignment="1">
      <alignment horizontal="left"/>
    </xf>
    <xf numFmtId="3" fontId="18" fillId="5" borderId="2" xfId="4" applyNumberFormat="1" applyFont="1" applyFill="1" applyBorder="1" applyAlignment="1">
      <alignment horizontal="center"/>
    </xf>
    <xf numFmtId="166" fontId="20" fillId="4" borderId="2" xfId="2" applyNumberFormat="1" applyFont="1" applyFill="1" applyBorder="1" applyAlignment="1">
      <alignment horizontal="left"/>
    </xf>
    <xf numFmtId="0" fontId="20" fillId="4" borderId="0" xfId="0" applyFont="1" applyFill="1" applyBorder="1" applyAlignment="1">
      <alignment horizontal="left"/>
    </xf>
    <xf numFmtId="0" fontId="20" fillId="4" borderId="2" xfId="3" applyFont="1" applyFill="1" applyBorder="1" applyAlignment="1">
      <alignment horizontal="center"/>
    </xf>
    <xf numFmtId="3" fontId="18" fillId="4" borderId="2" xfId="4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left" indent="2"/>
    </xf>
    <xf numFmtId="3" fontId="24" fillId="4" borderId="2" xfId="4" applyNumberFormat="1" applyFont="1" applyFill="1" applyBorder="1" applyAlignment="1">
      <alignment horizontal="center"/>
    </xf>
    <xf numFmtId="0" fontId="19" fillId="6" borderId="2" xfId="0" applyFont="1" applyFill="1" applyBorder="1" applyAlignment="1">
      <alignment horizontal="left" wrapText="1"/>
    </xf>
    <xf numFmtId="3" fontId="18" fillId="4" borderId="16" xfId="4" applyNumberFormat="1" applyFont="1" applyFill="1" applyBorder="1" applyAlignment="1">
      <alignment horizontal="center"/>
    </xf>
    <xf numFmtId="3" fontId="17" fillId="5" borderId="16" xfId="0" applyNumberFormat="1" applyFont="1" applyFill="1" applyBorder="1"/>
    <xf numFmtId="0" fontId="19" fillId="0" borderId="1" xfId="0" applyFont="1" applyBorder="1" applyAlignment="1">
      <alignment horizontal="left"/>
    </xf>
    <xf numFmtId="3" fontId="24" fillId="5" borderId="2" xfId="4" applyNumberFormat="1" applyFont="1" applyFill="1" applyBorder="1" applyAlignment="1">
      <alignment horizontal="center"/>
    </xf>
    <xf numFmtId="0" fontId="10" fillId="5" borderId="16" xfId="0" applyFont="1" applyFill="1" applyBorder="1"/>
    <xf numFmtId="9" fontId="24" fillId="0" borderId="16" xfId="0" applyNumberFormat="1" applyFont="1" applyBorder="1" applyAlignment="1">
      <alignment horizontal="center"/>
    </xf>
    <xf numFmtId="3" fontId="24" fillId="0" borderId="2" xfId="0" applyNumberFormat="1" applyFont="1" applyBorder="1" applyAlignment="1">
      <alignment horizontal="center"/>
    </xf>
    <xf numFmtId="17" fontId="14" fillId="4" borderId="16" xfId="0" applyNumberFormat="1" applyFont="1" applyFill="1" applyBorder="1" applyAlignment="1">
      <alignment horizontal="left" vertical="center" wrapText="1"/>
    </xf>
    <xf numFmtId="3" fontId="24" fillId="4" borderId="2" xfId="0" applyNumberFormat="1" applyFont="1" applyFill="1" applyBorder="1" applyAlignment="1">
      <alignment horizontal="center"/>
    </xf>
    <xf numFmtId="167" fontId="18" fillId="0" borderId="2" xfId="5" applyNumberFormat="1" applyFont="1" applyBorder="1" applyAlignment="1">
      <alignment horizontal="center"/>
    </xf>
    <xf numFmtId="167" fontId="18" fillId="0" borderId="2" xfId="5" applyNumberFormat="1" applyFont="1" applyFill="1" applyBorder="1" applyAlignment="1">
      <alignment horizontal="center"/>
    </xf>
    <xf numFmtId="0" fontId="17" fillId="0" borderId="0" xfId="0" applyFont="1" applyBorder="1" applyAlignment="1">
      <alignment horizontal="left"/>
    </xf>
    <xf numFmtId="3" fontId="17" fillId="4" borderId="1" xfId="0" applyNumberFormat="1" applyFont="1" applyFill="1" applyBorder="1" applyAlignment="1">
      <alignment horizontal="center"/>
    </xf>
    <xf numFmtId="3" fontId="15" fillId="4" borderId="1" xfId="0" applyNumberFormat="1" applyFont="1" applyFill="1" applyBorder="1" applyAlignment="1">
      <alignment horizontal="center"/>
    </xf>
    <xf numFmtId="167" fontId="18" fillId="5" borderId="2" xfId="4" applyNumberFormat="1" applyFont="1" applyFill="1" applyBorder="1" applyAlignment="1">
      <alignment horizontal="center"/>
    </xf>
    <xf numFmtId="3" fontId="18" fillId="0" borderId="2" xfId="0" applyNumberFormat="1" applyFont="1" applyFill="1" applyBorder="1" applyAlignment="1">
      <alignment horizontal="center"/>
    </xf>
    <xf numFmtId="168" fontId="18" fillId="0" borderId="2" xfId="0" applyNumberFormat="1" applyFont="1" applyFill="1" applyBorder="1" applyAlignment="1">
      <alignment horizontal="center"/>
    </xf>
    <xf numFmtId="2" fontId="18" fillId="0" borderId="2" xfId="0" applyNumberFormat="1" applyFont="1" applyFill="1" applyBorder="1" applyAlignment="1">
      <alignment horizontal="center"/>
    </xf>
    <xf numFmtId="167" fontId="18" fillId="0" borderId="2" xfId="0" applyNumberFormat="1" applyFont="1" applyFill="1" applyBorder="1" applyAlignment="1">
      <alignment horizontal="center"/>
    </xf>
    <xf numFmtId="3" fontId="18" fillId="0" borderId="0" xfId="0" applyNumberFormat="1" applyFont="1" applyFill="1" applyBorder="1" applyAlignment="1">
      <alignment horizontal="center"/>
    </xf>
    <xf numFmtId="0" fontId="18" fillId="0" borderId="2" xfId="0" applyFont="1" applyFill="1" applyBorder="1"/>
    <xf numFmtId="0" fontId="17" fillId="0" borderId="0" xfId="0" applyFont="1" applyBorder="1" applyAlignment="1">
      <alignment horizontal="left" indent="2"/>
    </xf>
    <xf numFmtId="3" fontId="18" fillId="5" borderId="0" xfId="4" applyNumberFormat="1" applyFont="1" applyFill="1" applyBorder="1" applyAlignment="1">
      <alignment horizontal="center"/>
    </xf>
    <xf numFmtId="3" fontId="10" fillId="4" borderId="2" xfId="2" applyNumberFormat="1" applyFont="1" applyFill="1" applyBorder="1" applyAlignment="1">
      <alignment horizontal="center"/>
    </xf>
    <xf numFmtId="170" fontId="15" fillId="4" borderId="16" xfId="0" applyNumberFormat="1" applyFont="1" applyFill="1" applyBorder="1" applyAlignment="1">
      <alignment horizontal="center"/>
    </xf>
    <xf numFmtId="169" fontId="18" fillId="0" borderId="16" xfId="0" applyNumberFormat="1" applyFont="1" applyBorder="1"/>
    <xf numFmtId="0" fontId="23" fillId="4" borderId="0" xfId="0" applyFont="1" applyFill="1" applyBorder="1" applyAlignment="1">
      <alignment horizontal="center"/>
    </xf>
    <xf numFmtId="0" fontId="20" fillId="4" borderId="16" xfId="0" applyFont="1" applyFill="1" applyBorder="1" applyAlignment="1">
      <alignment horizontal="center" vertical="center"/>
    </xf>
    <xf numFmtId="0" fontId="20" fillId="4" borderId="2" xfId="4" applyFont="1" applyFill="1" applyBorder="1" applyAlignment="1">
      <alignment horizontal="center" vertical="center" wrapText="1"/>
    </xf>
    <xf numFmtId="166" fontId="20" fillId="4" borderId="2" xfId="0" applyNumberFormat="1" applyFont="1" applyFill="1" applyBorder="1" applyAlignment="1">
      <alignment horizontal="left"/>
    </xf>
    <xf numFmtId="166" fontId="20" fillId="4" borderId="2" xfId="0" applyNumberFormat="1" applyFont="1" applyFill="1" applyBorder="1" applyAlignment="1">
      <alignment horizontal="center"/>
    </xf>
    <xf numFmtId="166" fontId="18" fillId="0" borderId="2" xfId="0" applyNumberFormat="1" applyFont="1" applyBorder="1" applyAlignment="1">
      <alignment horizontal="left"/>
    </xf>
    <xf numFmtId="3" fontId="18" fillId="4" borderId="2" xfId="0" applyNumberFormat="1" applyFont="1" applyFill="1" applyBorder="1" applyAlignment="1">
      <alignment horizontal="center"/>
    </xf>
    <xf numFmtId="166" fontId="0" fillId="0" borderId="4" xfId="0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166" fontId="20" fillId="4" borderId="16" xfId="0" applyNumberFormat="1" applyFont="1" applyFill="1" applyBorder="1" applyAlignment="1">
      <alignment horizontal="left"/>
    </xf>
    <xf numFmtId="166" fontId="18" fillId="0" borderId="16" xfId="0" applyNumberFormat="1" applyFont="1" applyBorder="1" applyAlignment="1">
      <alignment horizontal="left"/>
    </xf>
    <xf numFmtId="3" fontId="0" fillId="0" borderId="0" xfId="0" applyNumberFormat="1" applyFont="1"/>
    <xf numFmtId="0" fontId="0" fillId="2" borderId="0" xfId="0" applyFont="1" applyFill="1" applyAlignment="1">
      <alignment horizontal="center"/>
    </xf>
    <xf numFmtId="0" fontId="6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7" fillId="3" borderId="2" xfId="4" applyNumberFormat="1" applyFont="1" applyFill="1" applyBorder="1" applyAlignment="1">
      <alignment horizontal="center"/>
    </xf>
    <xf numFmtId="0" fontId="0" fillId="2" borderId="0" xfId="0" applyFont="1" applyFill="1"/>
    <xf numFmtId="9" fontId="24" fillId="0" borderId="0" xfId="0" applyNumberFormat="1" applyFont="1" applyBorder="1" applyAlignment="1">
      <alignment horizontal="center"/>
    </xf>
    <xf numFmtId="9" fontId="18" fillId="0" borderId="0" xfId="5" applyFont="1" applyBorder="1" applyAlignment="1">
      <alignment horizontal="center"/>
    </xf>
    <xf numFmtId="2" fontId="24" fillId="0" borderId="16" xfId="5" applyNumberFormat="1" applyFont="1" applyBorder="1" applyAlignment="1">
      <alignment horizontal="center"/>
    </xf>
    <xf numFmtId="3" fontId="18" fillId="0" borderId="16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9" fontId="18" fillId="0" borderId="16" xfId="5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2" fontId="18" fillId="0" borderId="16" xfId="0" applyNumberFormat="1" applyFont="1" applyBorder="1" applyAlignment="1">
      <alignment horizontal="center" vertical="center"/>
    </xf>
    <xf numFmtId="167" fontId="18" fillId="0" borderId="16" xfId="5" applyNumberFormat="1" applyFont="1" applyBorder="1" applyAlignment="1">
      <alignment horizontal="center" vertical="center"/>
    </xf>
    <xf numFmtId="169" fontId="18" fillId="0" borderId="16" xfId="0" applyNumberFormat="1" applyFont="1" applyBorder="1" applyAlignment="1">
      <alignment horizontal="center" vertical="center"/>
    </xf>
    <xf numFmtId="0" fontId="30" fillId="6" borderId="0" xfId="0" applyFont="1" applyFill="1" applyBorder="1" applyAlignment="1">
      <alignment horizontal="center"/>
    </xf>
    <xf numFmtId="3" fontId="31" fillId="4" borderId="2" xfId="0" applyNumberFormat="1" applyFont="1" applyFill="1" applyBorder="1" applyAlignment="1">
      <alignment horizontal="center"/>
    </xf>
    <xf numFmtId="9" fontId="24" fillId="0" borderId="2" xfId="0" applyNumberFormat="1" applyFont="1" applyFill="1" applyBorder="1" applyAlignment="1">
      <alignment horizontal="center"/>
    </xf>
    <xf numFmtId="9" fontId="24" fillId="0" borderId="5" xfId="0" applyNumberFormat="1" applyFont="1" applyFill="1" applyBorder="1" applyAlignment="1">
      <alignment horizontal="center"/>
    </xf>
    <xf numFmtId="3" fontId="18" fillId="0" borderId="19" xfId="0" applyNumberFormat="1" applyFont="1" applyFill="1" applyBorder="1" applyAlignment="1">
      <alignment horizontal="center"/>
    </xf>
    <xf numFmtId="3" fontId="18" fillId="0" borderId="6" xfId="0" applyNumberFormat="1" applyFont="1" applyFill="1" applyBorder="1" applyAlignment="1">
      <alignment horizontal="center"/>
    </xf>
    <xf numFmtId="3" fontId="18" fillId="0" borderId="20" xfId="0" applyNumberFormat="1" applyFont="1" applyFill="1" applyBorder="1" applyAlignment="1">
      <alignment horizontal="center"/>
    </xf>
    <xf numFmtId="3" fontId="18" fillId="0" borderId="5" xfId="0" applyNumberFormat="1" applyFont="1" applyFill="1" applyBorder="1" applyAlignment="1">
      <alignment horizontal="center"/>
    </xf>
    <xf numFmtId="3" fontId="18" fillId="0" borderId="21" xfId="0" applyNumberFormat="1" applyFont="1" applyFill="1" applyBorder="1" applyAlignment="1">
      <alignment horizontal="center"/>
    </xf>
    <xf numFmtId="3" fontId="18" fillId="0" borderId="7" xfId="0" applyNumberFormat="1" applyFont="1" applyFill="1" applyBorder="1" applyAlignment="1">
      <alignment horizontal="center"/>
    </xf>
    <xf numFmtId="9" fontId="24" fillId="0" borderId="22" xfId="0" applyNumberFormat="1" applyFont="1" applyFill="1" applyBorder="1" applyAlignment="1">
      <alignment horizontal="center"/>
    </xf>
    <xf numFmtId="3" fontId="18" fillId="0" borderId="23" xfId="0" applyNumberFormat="1" applyFont="1" applyFill="1" applyBorder="1" applyAlignment="1">
      <alignment horizontal="center"/>
    </xf>
    <xf numFmtId="3" fontId="18" fillId="0" borderId="24" xfId="0" applyNumberFormat="1" applyFont="1" applyFill="1" applyBorder="1" applyAlignment="1">
      <alignment horizontal="center"/>
    </xf>
    <xf numFmtId="3" fontId="18" fillId="0" borderId="25" xfId="0" applyNumberFormat="1" applyFont="1" applyFill="1" applyBorder="1" applyAlignment="1">
      <alignment horizontal="center"/>
    </xf>
    <xf numFmtId="9" fontId="24" fillId="0" borderId="1" xfId="0" applyNumberFormat="1" applyFont="1" applyFill="1" applyBorder="1" applyAlignment="1">
      <alignment horizontal="center"/>
    </xf>
    <xf numFmtId="3" fontId="18" fillId="0" borderId="1" xfId="0" applyNumberFormat="1" applyFont="1" applyFill="1" applyBorder="1" applyAlignment="1">
      <alignment horizontal="center"/>
    </xf>
    <xf numFmtId="3" fontId="18" fillId="0" borderId="26" xfId="0" applyNumberFormat="1" applyFont="1" applyFill="1" applyBorder="1" applyAlignment="1">
      <alignment horizontal="center"/>
    </xf>
    <xf numFmtId="3" fontId="18" fillId="0" borderId="8" xfId="0" applyNumberFormat="1" applyFont="1" applyFill="1" applyBorder="1" applyAlignment="1">
      <alignment horizontal="center"/>
    </xf>
    <xf numFmtId="3" fontId="18" fillId="0" borderId="27" xfId="0" applyNumberFormat="1" applyFont="1" applyFill="1" applyBorder="1" applyAlignment="1">
      <alignment horizontal="center"/>
    </xf>
    <xf numFmtId="3" fontId="0" fillId="0" borderId="0" xfId="0" applyNumberFormat="1"/>
    <xf numFmtId="9" fontId="31" fillId="4" borderId="2" xfId="0" applyNumberFormat="1" applyFont="1" applyFill="1" applyBorder="1" applyAlignment="1">
      <alignment horizontal="center"/>
    </xf>
    <xf numFmtId="9" fontId="18" fillId="0" borderId="2" xfId="0" applyNumberFormat="1" applyFont="1" applyFill="1" applyBorder="1" applyAlignment="1">
      <alignment horizontal="center"/>
    </xf>
    <xf numFmtId="9" fontId="18" fillId="0" borderId="3" xfId="0" applyNumberFormat="1" applyFont="1" applyFill="1" applyBorder="1" applyAlignment="1">
      <alignment horizontal="center"/>
    </xf>
    <xf numFmtId="9" fontId="18" fillId="0" borderId="19" xfId="0" applyNumberFormat="1" applyFont="1" applyFill="1" applyBorder="1" applyAlignment="1">
      <alignment horizontal="center"/>
    </xf>
    <xf numFmtId="9" fontId="18" fillId="0" borderId="6" xfId="0" applyNumberFormat="1" applyFont="1" applyFill="1" applyBorder="1" applyAlignment="1">
      <alignment horizontal="center"/>
    </xf>
    <xf numFmtId="9" fontId="18" fillId="0" borderId="20" xfId="0" applyNumberFormat="1" applyFont="1" applyFill="1" applyBorder="1" applyAlignment="1">
      <alignment horizontal="center"/>
    </xf>
    <xf numFmtId="9" fontId="18" fillId="0" borderId="5" xfId="0" applyNumberFormat="1" applyFont="1" applyFill="1" applyBorder="1" applyAlignment="1">
      <alignment horizontal="center"/>
    </xf>
    <xf numFmtId="9" fontId="18" fillId="0" borderId="9" xfId="0" applyNumberFormat="1" applyFont="1" applyFill="1" applyBorder="1" applyAlignment="1">
      <alignment horizontal="center"/>
    </xf>
    <xf numFmtId="9" fontId="18" fillId="0" borderId="21" xfId="0" applyNumberFormat="1" applyFont="1" applyFill="1" applyBorder="1" applyAlignment="1">
      <alignment horizontal="center"/>
    </xf>
    <xf numFmtId="9" fontId="18" fillId="0" borderId="7" xfId="0" applyNumberFormat="1" applyFont="1" applyFill="1" applyBorder="1" applyAlignment="1">
      <alignment horizontal="center"/>
    </xf>
    <xf numFmtId="9" fontId="24" fillId="0" borderId="28" xfId="0" applyNumberFormat="1" applyFont="1" applyFill="1" applyBorder="1" applyAlignment="1">
      <alignment horizontal="center"/>
    </xf>
    <xf numFmtId="9" fontId="18" fillId="0" borderId="29" xfId="0" applyNumberFormat="1" applyFont="1" applyFill="1" applyBorder="1" applyAlignment="1">
      <alignment horizontal="center"/>
    </xf>
    <xf numFmtId="9" fontId="18" fillId="0" borderId="30" xfId="0" applyNumberFormat="1" applyFont="1" applyFill="1" applyBorder="1" applyAlignment="1">
      <alignment horizontal="center"/>
    </xf>
    <xf numFmtId="9" fontId="18" fillId="0" borderId="24" xfId="0" applyNumberFormat="1" applyFont="1" applyFill="1" applyBorder="1" applyAlignment="1">
      <alignment horizontal="center"/>
    </xf>
    <xf numFmtId="9" fontId="18" fillId="0" borderId="31" xfId="0" applyNumberFormat="1" applyFont="1" applyFill="1" applyBorder="1" applyAlignment="1">
      <alignment horizontal="center"/>
    </xf>
    <xf numFmtId="9" fontId="18" fillId="0" borderId="32" xfId="0" applyNumberFormat="1" applyFont="1" applyFill="1" applyBorder="1" applyAlignment="1">
      <alignment horizontal="center"/>
    </xf>
    <xf numFmtId="9" fontId="18" fillId="0" borderId="1" xfId="0" applyNumberFormat="1" applyFont="1" applyFill="1" applyBorder="1" applyAlignment="1">
      <alignment horizontal="center"/>
    </xf>
    <xf numFmtId="9" fontId="18" fillId="0" borderId="10" xfId="0" applyNumberFormat="1" applyFont="1" applyFill="1" applyBorder="1" applyAlignment="1">
      <alignment horizontal="center"/>
    </xf>
    <xf numFmtId="9" fontId="18" fillId="0" borderId="26" xfId="0" applyNumberFormat="1" applyFont="1" applyFill="1" applyBorder="1" applyAlignment="1">
      <alignment horizontal="center"/>
    </xf>
    <xf numFmtId="9" fontId="18" fillId="0" borderId="8" xfId="0" applyNumberFormat="1" applyFont="1" applyFill="1" applyBorder="1" applyAlignment="1">
      <alignment horizontal="center"/>
    </xf>
    <xf numFmtId="9" fontId="18" fillId="0" borderId="27" xfId="0" applyNumberFormat="1" applyFont="1" applyFill="1" applyBorder="1" applyAlignment="1">
      <alignment horizontal="center"/>
    </xf>
    <xf numFmtId="168" fontId="31" fillId="4" borderId="2" xfId="0" applyNumberFormat="1" applyFont="1" applyFill="1" applyBorder="1" applyAlignment="1">
      <alignment horizontal="center"/>
    </xf>
    <xf numFmtId="168" fontId="18" fillId="0" borderId="19" xfId="0" applyNumberFormat="1" applyFont="1" applyFill="1" applyBorder="1" applyAlignment="1">
      <alignment horizontal="center"/>
    </xf>
    <xf numFmtId="168" fontId="18" fillId="0" borderId="20" xfId="0" applyNumberFormat="1" applyFont="1" applyFill="1" applyBorder="1" applyAlignment="1">
      <alignment horizontal="center"/>
    </xf>
    <xf numFmtId="168" fontId="18" fillId="0" borderId="21" xfId="0" applyNumberFormat="1" applyFont="1" applyFill="1" applyBorder="1" applyAlignment="1">
      <alignment horizontal="center"/>
    </xf>
    <xf numFmtId="168" fontId="18" fillId="0" borderId="23" xfId="0" applyNumberFormat="1" applyFont="1" applyFill="1" applyBorder="1" applyAlignment="1">
      <alignment horizontal="center"/>
    </xf>
    <xf numFmtId="168" fontId="18" fillId="0" borderId="24" xfId="0" applyNumberFormat="1" applyFont="1" applyFill="1" applyBorder="1" applyAlignment="1">
      <alignment horizontal="center"/>
    </xf>
    <xf numFmtId="168" fontId="18" fillId="0" borderId="25" xfId="0" applyNumberFormat="1" applyFont="1" applyFill="1" applyBorder="1" applyAlignment="1">
      <alignment horizontal="center"/>
    </xf>
    <xf numFmtId="168" fontId="18" fillId="0" borderId="26" xfId="0" applyNumberFormat="1" applyFont="1" applyFill="1" applyBorder="1" applyAlignment="1">
      <alignment horizontal="center"/>
    </xf>
    <xf numFmtId="168" fontId="18" fillId="0" borderId="27" xfId="0" applyNumberFormat="1" applyFont="1" applyFill="1" applyBorder="1" applyAlignment="1">
      <alignment horizontal="center"/>
    </xf>
    <xf numFmtId="0" fontId="6" fillId="4" borderId="2" xfId="0" applyFont="1" applyFill="1" applyBorder="1"/>
    <xf numFmtId="167" fontId="2" fillId="0" borderId="0" xfId="0" applyNumberFormat="1" applyFont="1" applyFill="1"/>
    <xf numFmtId="0" fontId="23" fillId="4" borderId="0" xfId="0" applyFont="1" applyFill="1" applyBorder="1" applyAlignment="1">
      <alignment horizontal="center"/>
    </xf>
    <xf numFmtId="0" fontId="17" fillId="5" borderId="16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left" indent="1"/>
    </xf>
    <xf numFmtId="0" fontId="24" fillId="5" borderId="16" xfId="0" applyFont="1" applyFill="1" applyBorder="1"/>
    <xf numFmtId="9" fontId="27" fillId="3" borderId="2" xfId="4" applyNumberFormat="1" applyFont="1" applyFill="1" applyBorder="1" applyAlignment="1">
      <alignment horizontal="center"/>
    </xf>
    <xf numFmtId="0" fontId="32" fillId="5" borderId="2" xfId="0" applyFont="1" applyFill="1" applyBorder="1" applyAlignment="1">
      <alignment horizontal="left" vertical="center"/>
    </xf>
    <xf numFmtId="3" fontId="33" fillId="5" borderId="2" xfId="2" applyNumberFormat="1" applyFont="1" applyFill="1" applyBorder="1" applyAlignment="1">
      <alignment horizontal="center"/>
    </xf>
    <xf numFmtId="0" fontId="34" fillId="5" borderId="0" xfId="0" applyFont="1" applyFill="1"/>
    <xf numFmtId="3" fontId="19" fillId="5" borderId="16" xfId="0" applyNumberFormat="1" applyFont="1" applyFill="1" applyBorder="1"/>
    <xf numFmtId="3" fontId="24" fillId="0" borderId="16" xfId="0" applyNumberFormat="1" applyFont="1" applyBorder="1" applyAlignment="1">
      <alignment horizontal="center"/>
    </xf>
    <xf numFmtId="0" fontId="18" fillId="5" borderId="2" xfId="0" applyFont="1" applyFill="1" applyBorder="1"/>
    <xf numFmtId="17" fontId="0" fillId="7" borderId="2" xfId="0" applyNumberFormat="1" applyFill="1" applyBorder="1"/>
    <xf numFmtId="1" fontId="27" fillId="3" borderId="2" xfId="4" applyNumberFormat="1" applyFont="1" applyFill="1" applyBorder="1" applyAlignment="1">
      <alignment horizontal="center"/>
    </xf>
    <xf numFmtId="3" fontId="17" fillId="5" borderId="16" xfId="0" applyNumberFormat="1" applyFont="1" applyFill="1" applyBorder="1" applyAlignment="1">
      <alignment wrapText="1"/>
    </xf>
    <xf numFmtId="9" fontId="24" fillId="0" borderId="3" xfId="0" applyNumberFormat="1" applyFont="1" applyFill="1" applyBorder="1" applyAlignment="1">
      <alignment horizontal="center"/>
    </xf>
    <xf numFmtId="3" fontId="18" fillId="0" borderId="33" xfId="0" applyNumberFormat="1" applyFont="1" applyFill="1" applyBorder="1" applyAlignment="1">
      <alignment horizontal="center"/>
    </xf>
    <xf numFmtId="3" fontId="31" fillId="5" borderId="2" xfId="0" applyNumberFormat="1" applyFont="1" applyFill="1" applyBorder="1" applyAlignment="1">
      <alignment horizontal="center"/>
    </xf>
    <xf numFmtId="9" fontId="31" fillId="5" borderId="2" xfId="0" applyNumberFormat="1" applyFont="1" applyFill="1" applyBorder="1" applyAlignment="1">
      <alignment horizontal="center"/>
    </xf>
    <xf numFmtId="168" fontId="31" fillId="5" borderId="2" xfId="0" applyNumberFormat="1" applyFont="1" applyFill="1" applyBorder="1" applyAlignment="1">
      <alignment horizontal="center"/>
    </xf>
    <xf numFmtId="10" fontId="27" fillId="3" borderId="2" xfId="4" applyNumberFormat="1" applyFont="1" applyFill="1" applyBorder="1" applyAlignment="1">
      <alignment horizontal="center"/>
    </xf>
    <xf numFmtId="167" fontId="18" fillId="0" borderId="16" xfId="0" applyNumberFormat="1" applyFont="1" applyBorder="1" applyAlignment="1">
      <alignment horizontal="center"/>
    </xf>
    <xf numFmtId="9" fontId="24" fillId="0" borderId="9" xfId="0" applyNumberFormat="1" applyFont="1" applyFill="1" applyBorder="1" applyAlignment="1">
      <alignment horizontal="center"/>
    </xf>
    <xf numFmtId="3" fontId="18" fillId="0" borderId="35" xfId="0" applyNumberFormat="1" applyFont="1" applyFill="1" applyBorder="1" applyAlignment="1">
      <alignment horizontal="center"/>
    </xf>
    <xf numFmtId="168" fontId="18" fillId="0" borderId="5" xfId="0" applyNumberFormat="1" applyFont="1" applyFill="1" applyBorder="1" applyAlignment="1">
      <alignment horizontal="center"/>
    </xf>
    <xf numFmtId="9" fontId="24" fillId="0" borderId="10" xfId="0" applyNumberFormat="1" applyFont="1" applyFill="1" applyBorder="1" applyAlignment="1">
      <alignment horizontal="center"/>
    </xf>
    <xf numFmtId="3" fontId="18" fillId="0" borderId="36" xfId="0" applyNumberFormat="1" applyFont="1" applyFill="1" applyBorder="1" applyAlignment="1">
      <alignment horizontal="center"/>
    </xf>
    <xf numFmtId="168" fontId="18" fillId="0" borderId="1" xfId="0" applyNumberFormat="1" applyFont="1" applyFill="1" applyBorder="1" applyAlignment="1">
      <alignment horizontal="center"/>
    </xf>
    <xf numFmtId="9" fontId="24" fillId="0" borderId="37" xfId="0" applyNumberFormat="1" applyFont="1" applyFill="1" applyBorder="1" applyAlignment="1">
      <alignment horizontal="center"/>
    </xf>
    <xf numFmtId="3" fontId="18" fillId="0" borderId="38" xfId="0" applyNumberFormat="1" applyFont="1" applyFill="1" applyBorder="1" applyAlignment="1">
      <alignment horizontal="center"/>
    </xf>
    <xf numFmtId="9" fontId="18" fillId="0" borderId="39" xfId="0" applyNumberFormat="1" applyFont="1" applyFill="1" applyBorder="1" applyAlignment="1">
      <alignment horizontal="center"/>
    </xf>
    <xf numFmtId="3" fontId="18" fillId="0" borderId="40" xfId="0" applyNumberFormat="1" applyFont="1" applyFill="1" applyBorder="1" applyAlignment="1">
      <alignment horizontal="center"/>
    </xf>
    <xf numFmtId="168" fontId="18" fillId="0" borderId="40" xfId="0" applyNumberFormat="1" applyFont="1" applyFill="1" applyBorder="1" applyAlignment="1">
      <alignment horizontal="center"/>
    </xf>
    <xf numFmtId="168" fontId="18" fillId="0" borderId="41" xfId="0" applyNumberFormat="1" applyFont="1" applyFill="1" applyBorder="1" applyAlignment="1">
      <alignment horizontal="center"/>
    </xf>
    <xf numFmtId="0" fontId="10" fillId="2" borderId="0" xfId="3" applyFont="1" applyFill="1" applyAlignment="1">
      <alignment wrapText="1"/>
    </xf>
    <xf numFmtId="0" fontId="0" fillId="0" borderId="0" xfId="0" applyFont="1" applyAlignment="1">
      <alignment wrapText="1"/>
    </xf>
    <xf numFmtId="0" fontId="19" fillId="0" borderId="1" xfId="0" applyFont="1" applyBorder="1"/>
    <xf numFmtId="9" fontId="18" fillId="0" borderId="2" xfId="5" applyFont="1" applyFill="1" applyBorder="1" applyAlignment="1">
      <alignment horizontal="center"/>
    </xf>
    <xf numFmtId="0" fontId="36" fillId="0" borderId="0" xfId="0" applyFont="1"/>
    <xf numFmtId="3" fontId="18" fillId="4" borderId="0" xfId="0" applyNumberFormat="1" applyFont="1" applyFill="1" applyBorder="1" applyAlignment="1">
      <alignment horizontal="center"/>
    </xf>
    <xf numFmtId="167" fontId="24" fillId="0" borderId="16" xfId="0" applyNumberFormat="1" applyFont="1" applyBorder="1" applyAlignment="1">
      <alignment horizontal="center"/>
    </xf>
    <xf numFmtId="0" fontId="29" fillId="0" borderId="0" xfId="1" applyAlignment="1"/>
    <xf numFmtId="0" fontId="38" fillId="0" borderId="0" xfId="1" applyFont="1" applyAlignment="1">
      <alignment horizontal="center" vertical="center" wrapText="1" readingOrder="1"/>
    </xf>
    <xf numFmtId="172" fontId="39" fillId="0" borderId="42" xfId="0" applyNumberFormat="1" applyFont="1" applyBorder="1" applyAlignment="1">
      <alignment horizontal="center"/>
    </xf>
    <xf numFmtId="9" fontId="29" fillId="0" borderId="0" xfId="1" applyNumberFormat="1" applyAlignment="1">
      <alignment horizontal="center"/>
    </xf>
    <xf numFmtId="0" fontId="6" fillId="0" borderId="0" xfId="1" applyFont="1" applyAlignment="1">
      <alignment horizontal="center" vertical="center"/>
    </xf>
    <xf numFmtId="0" fontId="24" fillId="0" borderId="0" xfId="3" applyFont="1" applyFill="1" applyBorder="1" applyAlignment="1">
      <alignment horizontal="left"/>
    </xf>
    <xf numFmtId="3" fontId="10" fillId="2" borderId="0" xfId="3" applyNumberFormat="1" applyFont="1" applyFill="1" applyAlignment="1">
      <alignment wrapText="1"/>
    </xf>
    <xf numFmtId="0" fontId="18" fillId="0" borderId="16" xfId="0" applyFont="1" applyBorder="1" applyAlignment="1">
      <alignment horizontal="left" wrapText="1"/>
    </xf>
    <xf numFmtId="0" fontId="6" fillId="4" borderId="2" xfId="0" applyFont="1" applyFill="1" applyBorder="1" applyAlignment="1">
      <alignment horizontal="center" vertical="center" wrapText="1"/>
    </xf>
    <xf numFmtId="0" fontId="30" fillId="6" borderId="0" xfId="0" applyFont="1" applyFill="1" applyBorder="1" applyAlignment="1">
      <alignment horizontal="center" wrapText="1"/>
    </xf>
    <xf numFmtId="168" fontId="18" fillId="0" borderId="2" xfId="0" applyNumberFormat="1" applyFont="1" applyFill="1" applyBorder="1" applyAlignment="1">
      <alignment horizontal="center" vertical="center"/>
    </xf>
    <xf numFmtId="0" fontId="30" fillId="6" borderId="0" xfId="0" applyFont="1" applyFill="1" applyBorder="1" applyAlignment="1"/>
    <xf numFmtId="0" fontId="40" fillId="0" borderId="0" xfId="0" applyFont="1"/>
    <xf numFmtId="3" fontId="18" fillId="3" borderId="2" xfId="5" applyNumberFormat="1" applyFont="1" applyFill="1" applyBorder="1" applyAlignment="1">
      <alignment horizontal="center"/>
    </xf>
    <xf numFmtId="10" fontId="18" fillId="0" borderId="2" xfId="0" applyNumberFormat="1" applyFont="1" applyFill="1" applyBorder="1" applyAlignment="1">
      <alignment horizontal="center"/>
    </xf>
    <xf numFmtId="166" fontId="0" fillId="0" borderId="0" xfId="0" applyNumberFormat="1"/>
    <xf numFmtId="17" fontId="0" fillId="0" borderId="0" xfId="0" applyNumberFormat="1"/>
    <xf numFmtId="0" fontId="41" fillId="2" borderId="0" xfId="0" applyFont="1" applyFill="1"/>
    <xf numFmtId="171" fontId="0" fillId="7" borderId="2" xfId="7" applyNumberFormat="1" applyFont="1" applyFill="1" applyBorder="1"/>
    <xf numFmtId="0" fontId="42" fillId="0" borderId="0" xfId="0" applyFont="1" applyAlignment="1">
      <alignment horizontal="justify" vertical="center"/>
    </xf>
    <xf numFmtId="167" fontId="10" fillId="0" borderId="16" xfId="0" applyNumberFormat="1" applyFont="1" applyBorder="1" applyAlignment="1">
      <alignment horizontal="center"/>
    </xf>
    <xf numFmtId="0" fontId="43" fillId="0" borderId="0" xfId="0" applyFont="1" applyAlignment="1">
      <alignment horizontal="center" vertical="center"/>
    </xf>
    <xf numFmtId="0" fontId="0" fillId="12" borderId="0" xfId="0" applyFill="1"/>
    <xf numFmtId="9" fontId="18" fillId="5" borderId="2" xfId="5" applyFont="1" applyFill="1" applyBorder="1" applyAlignment="1">
      <alignment horizontal="center"/>
    </xf>
    <xf numFmtId="173" fontId="18" fillId="5" borderId="2" xfId="5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3" fontId="24" fillId="5" borderId="0" xfId="4" applyNumberFormat="1" applyFont="1" applyFill="1" applyBorder="1" applyAlignment="1">
      <alignment horizontal="center"/>
    </xf>
    <xf numFmtId="4" fontId="18" fillId="5" borderId="2" xfId="4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3" fontId="18" fillId="0" borderId="0" xfId="0" applyNumberFormat="1" applyFont="1" applyBorder="1" applyAlignment="1">
      <alignment horizontal="center"/>
    </xf>
    <xf numFmtId="165" fontId="10" fillId="0" borderId="16" xfId="7" applyFont="1" applyBorder="1" applyAlignment="1">
      <alignment horizontal="center"/>
    </xf>
    <xf numFmtId="0" fontId="45" fillId="0" borderId="0" xfId="0" applyFont="1"/>
    <xf numFmtId="0" fontId="46" fillId="2" borderId="0" xfId="0" applyFont="1" applyFill="1"/>
    <xf numFmtId="0" fontId="46" fillId="2" borderId="0" xfId="4" applyFont="1" applyFill="1"/>
    <xf numFmtId="174" fontId="18" fillId="5" borderId="2" xfId="4" applyNumberFormat="1" applyFont="1" applyFill="1" applyBorder="1" applyAlignment="1">
      <alignment horizontal="center"/>
    </xf>
    <xf numFmtId="0" fontId="48" fillId="0" borderId="0" xfId="0" applyFont="1" applyAlignment="1">
      <alignment wrapText="1"/>
    </xf>
    <xf numFmtId="0" fontId="20" fillId="4" borderId="2" xfId="0" applyFont="1" applyFill="1" applyBorder="1" applyAlignment="1">
      <alignment horizontal="left" vertical="top" wrapText="1"/>
    </xf>
    <xf numFmtId="3" fontId="10" fillId="0" borderId="17" xfId="0" applyNumberFormat="1" applyFont="1" applyFill="1" applyBorder="1" applyAlignment="1">
      <alignment horizontal="center" vertical="top" wrapText="1"/>
    </xf>
    <xf numFmtId="0" fontId="13" fillId="0" borderId="44" xfId="0" applyFont="1" applyBorder="1" applyAlignment="1">
      <alignment horizontal="center" vertical="top" wrapText="1"/>
    </xf>
    <xf numFmtId="3" fontId="10" fillId="0" borderId="16" xfId="0" applyNumberFormat="1" applyFont="1" applyFill="1" applyBorder="1" applyAlignment="1">
      <alignment horizontal="center" vertical="top" wrapText="1"/>
    </xf>
    <xf numFmtId="10" fontId="10" fillId="0" borderId="16" xfId="0" applyNumberFormat="1" applyFont="1" applyFill="1" applyBorder="1" applyAlignment="1">
      <alignment horizontal="center" vertical="top" wrapText="1"/>
    </xf>
    <xf numFmtId="0" fontId="0" fillId="0" borderId="44" xfId="0" applyBorder="1" applyAlignment="1">
      <alignment vertical="top" wrapText="1"/>
    </xf>
    <xf numFmtId="10" fontId="0" fillId="0" borderId="44" xfId="0" applyNumberForma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13" fillId="0" borderId="44" xfId="0" applyFont="1" applyBorder="1" applyAlignment="1">
      <alignment vertical="top" wrapText="1"/>
    </xf>
    <xf numFmtId="10" fontId="13" fillId="0" borderId="44" xfId="0" applyNumberFormat="1" applyFont="1" applyBorder="1" applyAlignment="1">
      <alignment horizontal="center" vertical="top" wrapText="1"/>
    </xf>
    <xf numFmtId="0" fontId="20" fillId="4" borderId="2" xfId="0" applyFont="1" applyFill="1" applyBorder="1" applyAlignment="1">
      <alignment horizontal="left" wrapText="1"/>
    </xf>
    <xf numFmtId="10" fontId="20" fillId="4" borderId="2" xfId="0" applyNumberFormat="1" applyFont="1" applyFill="1" applyBorder="1" applyAlignment="1">
      <alignment horizontal="center" wrapText="1"/>
    </xf>
    <xf numFmtId="3" fontId="10" fillId="0" borderId="16" xfId="0" applyNumberFormat="1" applyFont="1" applyFill="1" applyBorder="1" applyAlignment="1">
      <alignment horizontal="center" wrapText="1"/>
    </xf>
    <xf numFmtId="3" fontId="10" fillId="0" borderId="45" xfId="0" applyNumberFormat="1" applyFont="1" applyFill="1" applyBorder="1" applyAlignment="1">
      <alignment horizontal="center" wrapText="1"/>
    </xf>
    <xf numFmtId="0" fontId="49" fillId="13" borderId="0" xfId="8" applyFont="1" applyFill="1" applyAlignment="1">
      <alignment wrapText="1"/>
    </xf>
    <xf numFmtId="10" fontId="10" fillId="0" borderId="16" xfId="0" applyNumberFormat="1" applyFont="1" applyFill="1" applyBorder="1" applyAlignment="1">
      <alignment horizontal="center" wrapText="1"/>
    </xf>
    <xf numFmtId="0" fontId="50" fillId="13" borderId="0" xfId="8" applyFont="1" applyFill="1" applyAlignment="1">
      <alignment wrapText="1"/>
    </xf>
    <xf numFmtId="10" fontId="51" fillId="13" borderId="0" xfId="5" applyNumberFormat="1" applyFont="1" applyFill="1" applyBorder="1" applyAlignment="1">
      <alignment horizontal="right" wrapText="1"/>
    </xf>
    <xf numFmtId="10" fontId="0" fillId="0" borderId="0" xfId="0" applyNumberFormat="1" applyAlignment="1">
      <alignment horizontal="center" wrapText="1"/>
    </xf>
    <xf numFmtId="9" fontId="20" fillId="4" borderId="2" xfId="0" applyNumberFormat="1" applyFont="1" applyFill="1" applyBorder="1" applyAlignment="1">
      <alignment horizontal="center" wrapText="1"/>
    </xf>
    <xf numFmtId="0" fontId="44" fillId="0" borderId="43" xfId="0" applyFont="1" applyBorder="1" applyAlignment="1">
      <alignment vertical="center"/>
    </xf>
    <xf numFmtId="165" fontId="0" fillId="0" borderId="0" xfId="7" applyFont="1"/>
    <xf numFmtId="165" fontId="0" fillId="12" borderId="0" xfId="7" applyFont="1" applyFill="1"/>
    <xf numFmtId="165" fontId="0" fillId="0" borderId="0" xfId="0" applyNumberFormat="1"/>
    <xf numFmtId="165" fontId="9" fillId="0" borderId="0" xfId="7" applyFont="1"/>
    <xf numFmtId="0" fontId="17" fillId="5" borderId="0" xfId="0" applyFont="1" applyFill="1" applyBorder="1" applyAlignment="1">
      <alignment horizontal="left" wrapText="1"/>
    </xf>
    <xf numFmtId="3" fontId="20" fillId="4" borderId="0" xfId="0" applyNumberFormat="1" applyFont="1" applyFill="1" applyBorder="1" applyAlignment="1">
      <alignment horizontal="center"/>
    </xf>
    <xf numFmtId="3" fontId="18" fillId="3" borderId="0" xfId="4" applyNumberFormat="1" applyFont="1" applyFill="1" applyBorder="1" applyAlignment="1">
      <alignment horizontal="center"/>
    </xf>
    <xf numFmtId="165" fontId="0" fillId="7" borderId="2" xfId="7" applyNumberFormat="1" applyFont="1" applyFill="1" applyBorder="1"/>
    <xf numFmtId="0" fontId="54" fillId="0" borderId="0" xfId="9"/>
    <xf numFmtId="168" fontId="12" fillId="0" borderId="0" xfId="0" applyNumberFormat="1" applyFont="1" applyBorder="1"/>
    <xf numFmtId="4" fontId="12" fillId="0" borderId="0" xfId="0" applyNumberFormat="1" applyFont="1" applyBorder="1"/>
    <xf numFmtId="0" fontId="19" fillId="5" borderId="1" xfId="0" applyFont="1" applyFill="1" applyBorder="1" applyAlignment="1">
      <alignment horizontal="left" indent="1"/>
    </xf>
    <xf numFmtId="0" fontId="0" fillId="0" borderId="44" xfId="0" applyBorder="1"/>
    <xf numFmtId="0" fontId="0" fillId="0" borderId="44" xfId="0" applyBorder="1" applyAlignment="1">
      <alignment horizontal="center"/>
    </xf>
    <xf numFmtId="166" fontId="20" fillId="4" borderId="44" xfId="0" applyNumberFormat="1" applyFont="1" applyFill="1" applyBorder="1" applyAlignment="1">
      <alignment horizontal="left"/>
    </xf>
    <xf numFmtId="3" fontId="0" fillId="0" borderId="44" xfId="0" applyNumberFormat="1" applyBorder="1" applyAlignment="1">
      <alignment horizontal="center"/>
    </xf>
    <xf numFmtId="0" fontId="11" fillId="12" borderId="0" xfId="0" applyFont="1" applyFill="1"/>
    <xf numFmtId="0" fontId="11" fillId="14" borderId="0" xfId="0" applyFont="1" applyFill="1"/>
    <xf numFmtId="3" fontId="18" fillId="15" borderId="2" xfId="4" applyNumberFormat="1" applyFont="1" applyFill="1" applyBorder="1" applyAlignment="1">
      <alignment horizontal="center"/>
    </xf>
    <xf numFmtId="0" fontId="0" fillId="15" borderId="0" xfId="0" applyFont="1" applyFill="1"/>
    <xf numFmtId="0" fontId="0" fillId="15" borderId="0" xfId="0" applyFill="1"/>
    <xf numFmtId="0" fontId="17" fillId="0" borderId="1" xfId="0" applyFont="1" applyFill="1" applyBorder="1" applyAlignment="1">
      <alignment horizontal="left" indent="1"/>
    </xf>
    <xf numFmtId="165" fontId="18" fillId="0" borderId="0" xfId="7" applyFont="1" applyFill="1" applyBorder="1" applyAlignment="1">
      <alignment horizontal="center"/>
    </xf>
    <xf numFmtId="171" fontId="18" fillId="0" borderId="0" xfId="7" applyNumberFormat="1" applyFont="1" applyFill="1" applyBorder="1" applyAlignment="1">
      <alignment horizontal="center"/>
    </xf>
    <xf numFmtId="0" fontId="9" fillId="0" borderId="0" xfId="0" applyFont="1" applyFill="1"/>
    <xf numFmtId="0" fontId="10" fillId="0" borderId="0" xfId="3" applyFont="1" applyFill="1"/>
    <xf numFmtId="0" fontId="10" fillId="0" borderId="0" xfId="3" applyFont="1" applyFill="1" applyAlignment="1">
      <alignment horizontal="center"/>
    </xf>
    <xf numFmtId="0" fontId="56" fillId="5" borderId="0" xfId="3" applyFont="1" applyFill="1" applyBorder="1"/>
    <xf numFmtId="0" fontId="57" fillId="0" borderId="0" xfId="0" applyFont="1"/>
    <xf numFmtId="0" fontId="55" fillId="0" borderId="0" xfId="3" applyFont="1" applyFill="1"/>
    <xf numFmtId="171" fontId="17" fillId="0" borderId="1" xfId="7" applyNumberFormat="1" applyFont="1" applyFill="1" applyBorder="1" applyAlignment="1">
      <alignment horizontal="right" indent="1"/>
    </xf>
    <xf numFmtId="3" fontId="18" fillId="0" borderId="2" xfId="5" applyNumberFormat="1" applyFont="1" applyFill="1" applyBorder="1" applyAlignment="1">
      <alignment horizontal="center"/>
    </xf>
    <xf numFmtId="3" fontId="18" fillId="0" borderId="2" xfId="4" applyNumberFormat="1" applyFont="1" applyFill="1" applyBorder="1" applyAlignment="1">
      <alignment horizontal="center"/>
    </xf>
    <xf numFmtId="0" fontId="2" fillId="0" borderId="0" xfId="4" applyFont="1" applyFill="1"/>
    <xf numFmtId="0" fontId="5" fillId="0" borderId="0" xfId="0" applyFont="1" applyFill="1"/>
    <xf numFmtId="0" fontId="0" fillId="0" borderId="0" xfId="0" applyFill="1"/>
    <xf numFmtId="0" fontId="20" fillId="0" borderId="2" xfId="4" applyFont="1" applyFill="1" applyBorder="1"/>
    <xf numFmtId="3" fontId="37" fillId="0" borderId="2" xfId="4" applyNumberFormat="1" applyFont="1" applyFill="1" applyBorder="1" applyAlignment="1">
      <alignment horizontal="center"/>
    </xf>
    <xf numFmtId="3" fontId="20" fillId="0" borderId="2" xfId="4" applyNumberFormat="1" applyFont="1" applyFill="1" applyBorder="1" applyAlignment="1">
      <alignment horizontal="center"/>
    </xf>
    <xf numFmtId="0" fontId="52" fillId="0" borderId="0" xfId="0" applyFont="1" applyFill="1"/>
    <xf numFmtId="0" fontId="10" fillId="5" borderId="1" xfId="0" applyFont="1" applyFill="1" applyBorder="1" applyAlignment="1">
      <alignment horizontal="left"/>
    </xf>
    <xf numFmtId="3" fontId="18" fillId="5" borderId="2" xfId="5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left"/>
    </xf>
    <xf numFmtId="4" fontId="18" fillId="5" borderId="2" xfId="5" applyNumberFormat="1" applyFont="1" applyFill="1" applyBorder="1" applyAlignment="1">
      <alignment horizontal="center"/>
    </xf>
    <xf numFmtId="0" fontId="53" fillId="5" borderId="0" xfId="0" applyFont="1" applyFill="1"/>
    <xf numFmtId="164" fontId="9" fillId="0" borderId="0" xfId="0" applyNumberFormat="1" applyFont="1" applyFill="1"/>
    <xf numFmtId="0" fontId="18" fillId="0" borderId="2" xfId="4" applyFont="1" applyFill="1" applyBorder="1" applyAlignment="1">
      <alignment horizontal="left" wrapText="1"/>
    </xf>
    <xf numFmtId="0" fontId="18" fillId="12" borderId="2" xfId="4" applyFont="1" applyFill="1" applyBorder="1" applyAlignment="1">
      <alignment horizontal="left" wrapText="1"/>
    </xf>
    <xf numFmtId="9" fontId="18" fillId="12" borderId="2" xfId="5" applyFont="1" applyFill="1" applyBorder="1" applyAlignment="1">
      <alignment horizontal="center"/>
    </xf>
    <xf numFmtId="0" fontId="2" fillId="12" borderId="0" xfId="4" applyFont="1" applyFill="1"/>
    <xf numFmtId="0" fontId="5" fillId="12" borderId="0" xfId="0" applyFont="1" applyFill="1"/>
    <xf numFmtId="0" fontId="10" fillId="12" borderId="16" xfId="0" applyFont="1" applyFill="1" applyBorder="1"/>
    <xf numFmtId="0" fontId="2" fillId="12" borderId="0" xfId="0" applyFont="1" applyFill="1"/>
    <xf numFmtId="0" fontId="0" fillId="12" borderId="0" xfId="0" applyFont="1" applyFill="1"/>
    <xf numFmtId="0" fontId="58" fillId="0" borderId="1" xfId="0" applyFont="1" applyFill="1" applyBorder="1"/>
    <xf numFmtId="167" fontId="10" fillId="12" borderId="16" xfId="5" applyNumberFormat="1" applyFont="1" applyFill="1" applyBorder="1" applyAlignment="1">
      <alignment horizontal="center"/>
    </xf>
    <xf numFmtId="2" fontId="2" fillId="0" borderId="0" xfId="4" applyNumberFormat="1" applyFont="1" applyFill="1"/>
    <xf numFmtId="3" fontId="2" fillId="0" borderId="0" xfId="4" applyNumberFormat="1" applyFont="1" applyFill="1"/>
    <xf numFmtId="2" fontId="10" fillId="12" borderId="16" xfId="5" applyNumberFormat="1" applyFont="1" applyFill="1" applyBorder="1" applyAlignment="1">
      <alignment horizontal="center"/>
    </xf>
    <xf numFmtId="3" fontId="9" fillId="0" borderId="0" xfId="0" applyNumberFormat="1" applyFont="1" applyFill="1"/>
    <xf numFmtId="3" fontId="5" fillId="0" borderId="0" xfId="0" applyNumberFormat="1" applyFont="1"/>
    <xf numFmtId="0" fontId="19" fillId="5" borderId="2" xfId="0" applyFont="1" applyFill="1" applyBorder="1" applyAlignment="1">
      <alignment horizontal="left" indent="2"/>
    </xf>
    <xf numFmtId="3" fontId="19" fillId="5" borderId="2" xfId="0" applyNumberFormat="1" applyFont="1" applyFill="1" applyBorder="1" applyAlignment="1">
      <alignment horizontal="center"/>
    </xf>
    <xf numFmtId="0" fontId="8" fillId="5" borderId="0" xfId="0" applyFont="1" applyFill="1"/>
    <xf numFmtId="168" fontId="18" fillId="5" borderId="2" xfId="4" applyNumberFormat="1" applyFont="1" applyFill="1" applyBorder="1" applyAlignment="1">
      <alignment horizontal="center"/>
    </xf>
    <xf numFmtId="0" fontId="24" fillId="5" borderId="16" xfId="0" applyFont="1" applyFill="1" applyBorder="1" applyAlignment="1">
      <alignment horizontal="center"/>
    </xf>
    <xf numFmtId="0" fontId="59" fillId="0" borderId="0" xfId="3" applyFont="1" applyFill="1" applyAlignment="1">
      <alignment horizontal="center"/>
    </xf>
    <xf numFmtId="0" fontId="59" fillId="0" borderId="0" xfId="3" applyFont="1" applyFill="1" applyAlignment="1">
      <alignment horizontal="center" vertical="center"/>
    </xf>
    <xf numFmtId="1" fontId="18" fillId="0" borderId="2" xfId="5" applyNumberFormat="1" applyFont="1" applyFill="1" applyBorder="1" applyAlignment="1">
      <alignment horizontal="center"/>
    </xf>
    <xf numFmtId="1" fontId="18" fillId="5" borderId="2" xfId="5" applyNumberFormat="1" applyFont="1" applyFill="1" applyBorder="1" applyAlignment="1">
      <alignment horizontal="center"/>
    </xf>
    <xf numFmtId="1" fontId="18" fillId="5" borderId="2" xfId="7" applyNumberFormat="1" applyFont="1" applyFill="1" applyBorder="1" applyAlignment="1">
      <alignment horizontal="center" vertical="center"/>
    </xf>
    <xf numFmtId="0" fontId="23" fillId="5" borderId="0" xfId="4" applyFont="1" applyFill="1" applyBorder="1"/>
    <xf numFmtId="0" fontId="20" fillId="5" borderId="0" xfId="0" applyFont="1" applyFill="1" applyBorder="1" applyAlignment="1">
      <alignment horizontal="left"/>
    </xf>
    <xf numFmtId="0" fontId="2" fillId="5" borderId="0" xfId="4" applyFont="1" applyFill="1"/>
    <xf numFmtId="0" fontId="5" fillId="5" borderId="0" xfId="0" applyFont="1" applyFill="1"/>
    <xf numFmtId="0" fontId="0" fillId="5" borderId="0" xfId="0" applyFill="1"/>
    <xf numFmtId="0" fontId="20" fillId="5" borderId="2" xfId="4" applyFont="1" applyFill="1" applyBorder="1"/>
    <xf numFmtId="3" fontId="20" fillId="5" borderId="2" xfId="4" applyNumberFormat="1" applyFont="1" applyFill="1" applyBorder="1" applyAlignment="1">
      <alignment horizontal="center"/>
    </xf>
    <xf numFmtId="17" fontId="20" fillId="5" borderId="2" xfId="4" applyNumberFormat="1" applyFont="1" applyFill="1" applyBorder="1" applyAlignment="1">
      <alignment horizontal="center"/>
    </xf>
    <xf numFmtId="0" fontId="17" fillId="5" borderId="3" xfId="0" applyFont="1" applyFill="1" applyBorder="1"/>
    <xf numFmtId="3" fontId="18" fillId="5" borderId="2" xfId="4" applyNumberFormat="1" applyFont="1" applyFill="1" applyBorder="1" applyAlignment="1">
      <alignment horizontal="left"/>
    </xf>
    <xf numFmtId="3" fontId="18" fillId="5" borderId="1" xfId="4" applyNumberFormat="1" applyFont="1" applyFill="1" applyBorder="1" applyAlignment="1">
      <alignment horizontal="left"/>
    </xf>
    <xf numFmtId="0" fontId="19" fillId="16" borderId="2" xfId="0" applyFont="1" applyFill="1" applyBorder="1" applyAlignment="1">
      <alignment horizontal="left" wrapText="1"/>
    </xf>
    <xf numFmtId="3" fontId="24" fillId="16" borderId="2" xfId="4" applyNumberFormat="1" applyFont="1" applyFill="1" applyBorder="1" applyAlignment="1">
      <alignment horizontal="center"/>
    </xf>
    <xf numFmtId="0" fontId="13" fillId="16" borderId="0" xfId="0" applyFont="1" applyFill="1"/>
    <xf numFmtId="0" fontId="59" fillId="0" borderId="0" xfId="3" applyFont="1" applyFill="1"/>
    <xf numFmtId="9" fontId="20" fillId="4" borderId="0" xfId="5" applyFont="1" applyFill="1" applyBorder="1" applyAlignment="1">
      <alignment horizontal="center"/>
    </xf>
    <xf numFmtId="0" fontId="19" fillId="0" borderId="10" xfId="0" applyFont="1" applyFill="1" applyBorder="1"/>
    <xf numFmtId="165" fontId="18" fillId="0" borderId="44" xfId="7" applyFont="1" applyFill="1" applyBorder="1" applyAlignment="1">
      <alignment horizontal="center"/>
    </xf>
    <xf numFmtId="171" fontId="17" fillId="0" borderId="44" xfId="7" applyNumberFormat="1" applyFont="1" applyFill="1" applyBorder="1" applyAlignment="1">
      <alignment horizontal="right" indent="1"/>
    </xf>
    <xf numFmtId="3" fontId="18" fillId="12" borderId="2" xfId="5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left"/>
    </xf>
    <xf numFmtId="3" fontId="24" fillId="5" borderId="2" xfId="4" applyNumberFormat="1" applyFont="1" applyFill="1" applyBorder="1" applyAlignment="1">
      <alignment horizontal="left"/>
    </xf>
    <xf numFmtId="0" fontId="19" fillId="6" borderId="2" xfId="0" applyFont="1" applyFill="1" applyBorder="1" applyAlignment="1">
      <alignment horizontal="center" wrapText="1"/>
    </xf>
    <xf numFmtId="1" fontId="19" fillId="6" borderId="2" xfId="0" applyNumberFormat="1" applyFont="1" applyFill="1" applyBorder="1" applyAlignment="1">
      <alignment horizontal="center" wrapText="1"/>
    </xf>
    <xf numFmtId="2" fontId="0" fillId="0" borderId="0" xfId="0" applyNumberFormat="1" applyFont="1" applyBorder="1" applyAlignment="1">
      <alignment horizontal="center"/>
    </xf>
    <xf numFmtId="9" fontId="0" fillId="0" borderId="0" xfId="0" applyNumberFormat="1" applyFont="1"/>
    <xf numFmtId="10" fontId="0" fillId="0" borderId="0" xfId="0" applyNumberFormat="1" applyFont="1"/>
    <xf numFmtId="1" fontId="0" fillId="0" borderId="0" xfId="0" applyNumberFormat="1" applyFont="1"/>
    <xf numFmtId="2" fontId="0" fillId="17" borderId="0" xfId="0" applyNumberFormat="1" applyFill="1"/>
    <xf numFmtId="3" fontId="20" fillId="4" borderId="3" xfId="2" applyNumberFormat="1" applyFont="1" applyFill="1" applyBorder="1" applyAlignment="1">
      <alignment horizontal="center"/>
    </xf>
    <xf numFmtId="3" fontId="20" fillId="6" borderId="5" xfId="2" applyNumberFormat="1" applyFont="1" applyFill="1" applyBorder="1" applyAlignment="1">
      <alignment horizontal="center"/>
    </xf>
    <xf numFmtId="3" fontId="24" fillId="5" borderId="1" xfId="4" applyNumberFormat="1" applyFont="1" applyFill="1" applyBorder="1" applyAlignment="1">
      <alignment horizontal="center"/>
    </xf>
    <xf numFmtId="1" fontId="60" fillId="5" borderId="2" xfId="0" applyNumberFormat="1" applyFont="1" applyFill="1" applyBorder="1" applyAlignment="1">
      <alignment horizontal="center"/>
    </xf>
    <xf numFmtId="1" fontId="60" fillId="18" borderId="2" xfId="0" applyNumberFormat="1" applyFont="1" applyFill="1" applyBorder="1" applyAlignment="1">
      <alignment horizontal="center"/>
    </xf>
    <xf numFmtId="49" fontId="17" fillId="0" borderId="34" xfId="0" applyNumberFormat="1" applyFont="1" applyBorder="1" applyAlignment="1"/>
    <xf numFmtId="49" fontId="0" fillId="0" borderId="0" xfId="0" applyNumberFormat="1" applyFont="1" applyBorder="1" applyAlignment="1"/>
    <xf numFmtId="49" fontId="0" fillId="0" borderId="0" xfId="0" applyNumberFormat="1" applyFont="1" applyAlignment="1"/>
    <xf numFmtId="0" fontId="0" fillId="0" borderId="0" xfId="0" applyFont="1" applyAlignment="1"/>
    <xf numFmtId="0" fontId="21" fillId="4" borderId="0" xfId="0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30" fillId="4" borderId="0" xfId="0" applyFont="1" applyFill="1" applyBorder="1" applyAlignment="1">
      <alignment horizontal="center" vertical="center" wrapText="1"/>
    </xf>
    <xf numFmtId="0" fontId="47" fillId="4" borderId="0" xfId="0" applyFont="1" applyFill="1" applyAlignment="1">
      <alignment vertical="center" wrapText="1"/>
    </xf>
    <xf numFmtId="0" fontId="17" fillId="0" borderId="0" xfId="0" applyFont="1" applyBorder="1" applyAlignment="1"/>
    <xf numFmtId="0" fontId="0" fillId="0" borderId="0" xfId="0" applyFont="1" applyBorder="1" applyAlignment="1"/>
    <xf numFmtId="0" fontId="23" fillId="4" borderId="0" xfId="0" applyFont="1" applyFill="1" applyBorder="1" applyAlignment="1">
      <alignment horizontal="center"/>
    </xf>
    <xf numFmtId="0" fontId="35" fillId="10" borderId="11" xfId="0" applyFont="1" applyFill="1" applyBorder="1" applyAlignment="1">
      <alignment horizontal="center"/>
    </xf>
    <xf numFmtId="0" fontId="35" fillId="11" borderId="11" xfId="0" applyFont="1" applyFill="1" applyBorder="1" applyAlignment="1">
      <alignment horizontal="center"/>
    </xf>
    <xf numFmtId="0" fontId="35" fillId="9" borderId="11" xfId="0" applyFont="1" applyFill="1" applyBorder="1" applyAlignment="1">
      <alignment horizontal="center"/>
    </xf>
    <xf numFmtId="0" fontId="35" fillId="6" borderId="11" xfId="0" applyFont="1" applyFill="1" applyBorder="1" applyAlignment="1">
      <alignment horizontal="center"/>
    </xf>
    <xf numFmtId="0" fontId="35" fillId="8" borderId="11" xfId="0" applyFont="1" applyFill="1" applyBorder="1" applyAlignment="1">
      <alignment horizontal="center"/>
    </xf>
    <xf numFmtId="0" fontId="20" fillId="0" borderId="3" xfId="4" applyFont="1" applyFill="1" applyBorder="1" applyAlignment="1">
      <alignment horizontal="center" wrapText="1"/>
    </xf>
    <xf numFmtId="0" fontId="20" fillId="0" borderId="6" xfId="4" applyFont="1" applyFill="1" applyBorder="1" applyAlignment="1">
      <alignment horizontal="center" wrapText="1"/>
    </xf>
    <xf numFmtId="0" fontId="24" fillId="0" borderId="10" xfId="4" applyFont="1" applyFill="1" applyBorder="1" applyAlignment="1">
      <alignment horizontal="center" wrapText="1"/>
    </xf>
    <xf numFmtId="0" fontId="24" fillId="0" borderId="8" xfId="4" applyFont="1" applyFill="1" applyBorder="1" applyAlignment="1">
      <alignment horizontal="center" wrapText="1"/>
    </xf>
    <xf numFmtId="0" fontId="20" fillId="4" borderId="3" xfId="4" applyFont="1" applyFill="1" applyBorder="1" applyAlignment="1">
      <alignment horizontal="center" wrapText="1"/>
    </xf>
    <xf numFmtId="0" fontId="20" fillId="4" borderId="6" xfId="4" applyFont="1" applyFill="1" applyBorder="1" applyAlignment="1">
      <alignment horizontal="center" wrapText="1"/>
    </xf>
    <xf numFmtId="0" fontId="20" fillId="4" borderId="3" xfId="4" applyFont="1" applyFill="1" applyBorder="1" applyAlignment="1">
      <alignment horizontal="center" vertical="center" wrapText="1"/>
    </xf>
    <xf numFmtId="0" fontId="20" fillId="4" borderId="12" xfId="4" applyFont="1" applyFill="1" applyBorder="1" applyAlignment="1">
      <alignment horizontal="center" vertical="center" wrapText="1"/>
    </xf>
    <xf numFmtId="0" fontId="20" fillId="4" borderId="6" xfId="4" applyFont="1" applyFill="1" applyBorder="1" applyAlignment="1">
      <alignment horizontal="center" vertical="center" wrapText="1"/>
    </xf>
    <xf numFmtId="0" fontId="35" fillId="5" borderId="11" xfId="0" applyFont="1" applyFill="1" applyBorder="1" applyAlignment="1">
      <alignment horizontal="center"/>
    </xf>
    <xf numFmtId="0" fontId="35" fillId="11" borderId="46" xfId="0" applyFont="1" applyFill="1" applyBorder="1" applyAlignment="1">
      <alignment horizontal="center"/>
    </xf>
    <xf numFmtId="0" fontId="35" fillId="10" borderId="46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textRotation="90" wrapText="1"/>
    </xf>
    <xf numFmtId="0" fontId="20" fillId="4" borderId="13" xfId="0" applyFont="1" applyFill="1" applyBorder="1" applyAlignment="1">
      <alignment horizontal="center" vertical="center" textRotation="90" wrapText="1"/>
    </xf>
    <xf numFmtId="0" fontId="20" fillId="4" borderId="14" xfId="0" applyFont="1" applyFill="1" applyBorder="1" applyAlignment="1">
      <alignment horizontal="center" vertical="center" textRotation="90" wrapText="1"/>
    </xf>
    <xf numFmtId="0" fontId="20" fillId="4" borderId="1" xfId="0" applyFont="1" applyFill="1" applyBorder="1" applyAlignment="1">
      <alignment horizontal="center" vertical="center" textRotation="90" wrapText="1"/>
    </xf>
  </cellXfs>
  <cellStyles count="10">
    <cellStyle name="Comma" xfId="7" builtinId="3"/>
    <cellStyle name="Hyperlink" xfId="9" builtinId="8"/>
    <cellStyle name="Normal" xfId="0" builtinId="0"/>
    <cellStyle name="Per cent" xfId="5" builtinId="5"/>
    <cellStyle name="Обычный 2" xfId="1" xr:uid="{00000000-0005-0000-0000-000003000000}"/>
    <cellStyle name="Обычный_finraschetu-кашрут" xfId="2" xr:uid="{00000000-0005-0000-0000-000004000000}"/>
    <cellStyle name="Обычный_Лист1" xfId="3" xr:uid="{00000000-0005-0000-0000-000005000000}"/>
    <cellStyle name="Обычный_Лист2" xfId="4" xr:uid="{00000000-0005-0000-0000-000006000000}"/>
    <cellStyle name="Обычный_Ставки дисконтирования Газфлот" xfId="8" xr:uid="{00000000-0005-0000-0000-000007000000}"/>
    <cellStyle name="Процентный 2" xfId="6" xr:uid="{00000000-0005-0000-0000-000008000000}"/>
  </cellStyles>
  <dxfs count="10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ont>
        <b/>
        <i val="0"/>
        <condense val="0"/>
        <extend val="0"/>
        <color indexed="9"/>
      </font>
      <fill>
        <patternFill>
          <bgColor indexed="16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9"/>
      </font>
      <fill>
        <patternFill>
          <bgColor indexed="16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ont>
        <b/>
        <i val="0"/>
        <condense val="0"/>
        <extend val="0"/>
        <color indexed="9"/>
      </font>
      <fill>
        <patternFill>
          <bgColor indexed="1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9"/>
      </font>
      <fill>
        <patternFill>
          <bgColor indexed="16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  <dxf>
      <fill>
        <patternFill patternType="solid">
          <bgColor rgb="FFFF00FF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Динаміка виручки</a:t>
            </a:r>
            <a:endParaRPr lang="ru-RU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853026432373616"/>
          <c:y val="0.17713578249873219"/>
          <c:w val="0.86853410936226616"/>
          <c:h val="0.5847451447058315"/>
        </c:manualLayout>
      </c:layout>
      <c:barChart>
        <c:barDir val="col"/>
        <c:grouping val="stacked"/>
        <c:varyColors val="0"/>
        <c:ser>
          <c:idx val="2"/>
          <c:order val="0"/>
          <c:tx>
            <c:v>Выручка без ПДВ</c:v>
          </c:tx>
          <c:invertIfNegative val="0"/>
          <c:cat>
            <c:numRef>
              <c:f>Доходи!$C$4:$BJ$4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Доходи!$C$18:$BJ$18</c:f>
              <c:numCache>
                <c:formatCode>#,##0</c:formatCode>
                <c:ptCount val="60"/>
                <c:pt idx="0">
                  <c:v>1232446.5759999999</c:v>
                </c:pt>
                <c:pt idx="1">
                  <c:v>926645.76932999992</c:v>
                </c:pt>
                <c:pt idx="2">
                  <c:v>619308.25583555014</c:v>
                </c:pt>
                <c:pt idx="3">
                  <c:v>496685.22118011105</c:v>
                </c:pt>
                <c:pt idx="4">
                  <c:v>622408.66779132653</c:v>
                </c:pt>
                <c:pt idx="5">
                  <c:v>623964.68946080492</c:v>
                </c:pt>
                <c:pt idx="6">
                  <c:v>625524.60118445696</c:v>
                </c:pt>
                <c:pt idx="7">
                  <c:v>627088.41268741805</c:v>
                </c:pt>
                <c:pt idx="8">
                  <c:v>502924.90697530936</c:v>
                </c:pt>
                <c:pt idx="9">
                  <c:v>630227.77405343449</c:v>
                </c:pt>
                <c:pt idx="10">
                  <c:v>631803.34348856797</c:v>
                </c:pt>
                <c:pt idx="11">
                  <c:v>633382.85184728936</c:v>
                </c:pt>
                <c:pt idx="12">
                  <c:v>1269932.617953815</c:v>
                </c:pt>
                <c:pt idx="13">
                  <c:v>954830.58712402452</c:v>
                </c:pt>
                <c:pt idx="14">
                  <c:v>638145.10906122299</c:v>
                </c:pt>
                <c:pt idx="15">
                  <c:v>511792.37746710086</c:v>
                </c:pt>
                <c:pt idx="16">
                  <c:v>641339.82301346073</c:v>
                </c:pt>
                <c:pt idx="17">
                  <c:v>642943.17257099424</c:v>
                </c:pt>
                <c:pt idx="18">
                  <c:v>644550.53050242167</c:v>
                </c:pt>
                <c:pt idx="19">
                  <c:v>646161.90682867763</c:v>
                </c:pt>
                <c:pt idx="20">
                  <c:v>518221.84927659959</c:v>
                </c:pt>
                <c:pt idx="21">
                  <c:v>649396.75487473863</c:v>
                </c:pt>
                <c:pt idx="22">
                  <c:v>651020.2467619254</c:v>
                </c:pt>
                <c:pt idx="23">
                  <c:v>652647.79737883026</c:v>
                </c:pt>
                <c:pt idx="24">
                  <c:v>1308558.8337445548</c:v>
                </c:pt>
                <c:pt idx="25">
                  <c:v>983872.67312168726</c:v>
                </c:pt>
                <c:pt idx="26">
                  <c:v>657554.90320299403</c:v>
                </c:pt>
                <c:pt idx="27">
                  <c:v>527359.0323688013</c:v>
                </c:pt>
                <c:pt idx="28">
                  <c:v>660846.78743715398</c:v>
                </c:pt>
                <c:pt idx="29">
                  <c:v>662498.90440574707</c:v>
                </c:pt>
                <c:pt idx="30">
                  <c:v>664155.15166676149</c:v>
                </c:pt>
                <c:pt idx="31">
                  <c:v>665815.53954592836</c:v>
                </c:pt>
                <c:pt idx="32">
                  <c:v>533984.06271583447</c:v>
                </c:pt>
                <c:pt idx="33">
                  <c:v>669148.77859077998</c:v>
                </c:pt>
                <c:pt idx="34">
                  <c:v>670821.65053725685</c:v>
                </c:pt>
                <c:pt idx="35">
                  <c:v>672498.70466360007</c:v>
                </c:pt>
                <c:pt idx="36">
                  <c:v>1348359.902850518</c:v>
                </c:pt>
                <c:pt idx="37">
                  <c:v>1013798.101955733</c:v>
                </c:pt>
                <c:pt idx="38">
                  <c:v>677555.06480708136</c:v>
                </c:pt>
                <c:pt idx="39">
                  <c:v>543399.16197527933</c:v>
                </c:pt>
                <c:pt idx="40">
                  <c:v>680947.07485027181</c:v>
                </c:pt>
                <c:pt idx="41">
                  <c:v>682649.44253739738</c:v>
                </c:pt>
                <c:pt idx="42">
                  <c:v>684356.06614374102</c:v>
                </c:pt>
                <c:pt idx="43">
                  <c:v>686066.95630910026</c:v>
                </c:pt>
                <c:pt idx="44">
                  <c:v>550225.69895989832</c:v>
                </c:pt>
                <c:pt idx="45">
                  <c:v>689501.57900912256</c:v>
                </c:pt>
                <c:pt idx="46">
                  <c:v>691225.33295664529</c:v>
                </c:pt>
                <c:pt idx="47">
                  <c:v>692953.39628903684</c:v>
                </c:pt>
                <c:pt idx="48">
                  <c:v>1389371.5595595189</c:v>
                </c:pt>
                <c:pt idx="49">
                  <c:v>1044633.741343813</c:v>
                </c:pt>
                <c:pt idx="50">
                  <c:v>698163.5504647817</c:v>
                </c:pt>
                <c:pt idx="51">
                  <c:v>559927.16747275495</c:v>
                </c:pt>
                <c:pt idx="52">
                  <c:v>701658.73173929588</c:v>
                </c:pt>
                <c:pt idx="53">
                  <c:v>703412.87856864417</c:v>
                </c:pt>
                <c:pt idx="54">
                  <c:v>705171.41076506604</c:v>
                </c:pt>
                <c:pt idx="55">
                  <c:v>706934.33929197851</c:v>
                </c:pt>
                <c:pt idx="56">
                  <c:v>566961.34011216671</c:v>
                </c:pt>
                <c:pt idx="57">
                  <c:v>710473.42932805885</c:v>
                </c:pt>
                <c:pt idx="58">
                  <c:v>712249.61290137901</c:v>
                </c:pt>
                <c:pt idx="59">
                  <c:v>714030.2369336324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0-9E4E-8007-44EBCA5F311C}"/>
            </c:ext>
          </c:extLst>
        </c:ser>
        <c:ser>
          <c:idx val="3"/>
          <c:order val="1"/>
          <c:tx>
            <c:v>ПДВ</c:v>
          </c:tx>
          <c:invertIfNegative val="0"/>
          <c:cat>
            <c:numRef>
              <c:f>Доходи!$C$4:$BJ$4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Доходи!$C$19:$BJ$19</c:f>
              <c:numCache>
                <c:formatCode>#,##0</c:formatCode>
                <c:ptCount val="60"/>
                <c:pt idx="0">
                  <c:v>308111.64400000003</c:v>
                </c:pt>
                <c:pt idx="1">
                  <c:v>231661.44233250001</c:v>
                </c:pt>
                <c:pt idx="2">
                  <c:v>154827.06395888753</c:v>
                </c:pt>
                <c:pt idx="3">
                  <c:v>124171.30529502778</c:v>
                </c:pt>
                <c:pt idx="4">
                  <c:v>155602.16694783163</c:v>
                </c:pt>
                <c:pt idx="5">
                  <c:v>155991.17236520123</c:v>
                </c:pt>
                <c:pt idx="6">
                  <c:v>156381.15029611424</c:v>
                </c:pt>
                <c:pt idx="7">
                  <c:v>156772.10317185451</c:v>
                </c:pt>
                <c:pt idx="8">
                  <c:v>125731.22674382734</c:v>
                </c:pt>
                <c:pt idx="9">
                  <c:v>157556.94351335862</c:v>
                </c:pt>
                <c:pt idx="10">
                  <c:v>157950.83587214199</c:v>
                </c:pt>
                <c:pt idx="11">
                  <c:v>158345.71296182234</c:v>
                </c:pt>
                <c:pt idx="12">
                  <c:v>317483.15448845382</c:v>
                </c:pt>
                <c:pt idx="13">
                  <c:v>238707.64678100613</c:v>
                </c:pt>
                <c:pt idx="14">
                  <c:v>159536.27726530575</c:v>
                </c:pt>
                <c:pt idx="15">
                  <c:v>127948.09436677523</c:v>
                </c:pt>
                <c:pt idx="16">
                  <c:v>160334.95575336518</c:v>
                </c:pt>
                <c:pt idx="17">
                  <c:v>160735.79314274856</c:v>
                </c:pt>
                <c:pt idx="18">
                  <c:v>161137.63262560545</c:v>
                </c:pt>
                <c:pt idx="19">
                  <c:v>161540.47670716944</c:v>
                </c:pt>
                <c:pt idx="20">
                  <c:v>129555.4623191499</c:v>
                </c:pt>
                <c:pt idx="21">
                  <c:v>162349.18871868469</c:v>
                </c:pt>
                <c:pt idx="22">
                  <c:v>162755.06169048138</c:v>
                </c:pt>
                <c:pt idx="23">
                  <c:v>163161.94934470757</c:v>
                </c:pt>
                <c:pt idx="24">
                  <c:v>327139.7084361387</c:v>
                </c:pt>
                <c:pt idx="25">
                  <c:v>245968.16828042181</c:v>
                </c:pt>
                <c:pt idx="26">
                  <c:v>164388.72580074851</c:v>
                </c:pt>
                <c:pt idx="27">
                  <c:v>131839.75809220035</c:v>
                </c:pt>
                <c:pt idx="28">
                  <c:v>165211.6968592885</c:v>
                </c:pt>
                <c:pt idx="29">
                  <c:v>165624.72610143677</c:v>
                </c:pt>
                <c:pt idx="30">
                  <c:v>166038.78791669037</c:v>
                </c:pt>
                <c:pt idx="31">
                  <c:v>166453.88488648209</c:v>
                </c:pt>
                <c:pt idx="32">
                  <c:v>133496.01567895862</c:v>
                </c:pt>
                <c:pt idx="33">
                  <c:v>167287.19464769503</c:v>
                </c:pt>
                <c:pt idx="34">
                  <c:v>167705.41263431424</c:v>
                </c:pt>
                <c:pt idx="35">
                  <c:v>168124.67616590002</c:v>
                </c:pt>
                <c:pt idx="36">
                  <c:v>337089.9757126295</c:v>
                </c:pt>
                <c:pt idx="37">
                  <c:v>253449.52548893329</c:v>
                </c:pt>
                <c:pt idx="38">
                  <c:v>169388.76620177037</c:v>
                </c:pt>
                <c:pt idx="39">
                  <c:v>135849.79049381983</c:v>
                </c:pt>
                <c:pt idx="40">
                  <c:v>170236.76871256798</c:v>
                </c:pt>
                <c:pt idx="41">
                  <c:v>170662.36063434937</c:v>
                </c:pt>
                <c:pt idx="42">
                  <c:v>171089.01653593525</c:v>
                </c:pt>
                <c:pt idx="43">
                  <c:v>171516.73907727507</c:v>
                </c:pt>
                <c:pt idx="44">
                  <c:v>137556.42473997458</c:v>
                </c:pt>
                <c:pt idx="45">
                  <c:v>172375.39475228067</c:v>
                </c:pt>
                <c:pt idx="46">
                  <c:v>172806.33323916132</c:v>
                </c:pt>
                <c:pt idx="47">
                  <c:v>173238.34907225924</c:v>
                </c:pt>
                <c:pt idx="48">
                  <c:v>347342.88988987973</c:v>
                </c:pt>
                <c:pt idx="49">
                  <c:v>261158.43533595325</c:v>
                </c:pt>
                <c:pt idx="50">
                  <c:v>174540.88761619545</c:v>
                </c:pt>
                <c:pt idx="51">
                  <c:v>139981.79186818874</c:v>
                </c:pt>
                <c:pt idx="52">
                  <c:v>175414.682934824</c:v>
                </c:pt>
                <c:pt idx="53">
                  <c:v>175853.21964216104</c:v>
                </c:pt>
                <c:pt idx="54">
                  <c:v>176292.85269126651</c:v>
                </c:pt>
                <c:pt idx="55">
                  <c:v>176733.58482299466</c:v>
                </c:pt>
                <c:pt idx="56">
                  <c:v>141740.33502804168</c:v>
                </c:pt>
                <c:pt idx="57">
                  <c:v>177618.35733201471</c:v>
                </c:pt>
                <c:pt idx="58">
                  <c:v>178062.40322534475</c:v>
                </c:pt>
                <c:pt idx="59">
                  <c:v>178507.5592334081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0-9E4E-8007-44EBCA5F3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769792"/>
        <c:axId val="168771584"/>
      </c:barChart>
      <c:dateAx>
        <c:axId val="1687697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68771584"/>
        <c:crosses val="autoZero"/>
        <c:auto val="1"/>
        <c:lblOffset val="100"/>
        <c:baseTimeUnit val="months"/>
      </c:dateAx>
      <c:valAx>
        <c:axId val="1687715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грн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687697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Динаміка податкових виплат</a:t>
            </a:r>
          </a:p>
        </c:rich>
      </c:tx>
      <c:layout>
        <c:manualLayout>
          <c:xMode val="edge"/>
          <c:yMode val="edge"/>
          <c:x val="0.39549276505045983"/>
          <c:y val="3.850779142117724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'Розрахунок податків'!$A$33</c:f>
              <c:strCache>
                <c:ptCount val="1"/>
                <c:pt idx="0">
                  <c:v>Налоги</c:v>
                </c:pt>
              </c:strCache>
            </c:strRef>
          </c:tx>
          <c:invertIfNegative val="0"/>
          <c:cat>
            <c:strRef>
              <c:f>'Розрахунок податків'!$C$33:$G$33</c:f>
              <c:strCache>
                <c:ptCount val="5"/>
                <c:pt idx="0">
                  <c:v>1 рік</c:v>
                </c:pt>
                <c:pt idx="1">
                  <c:v>2 рік</c:v>
                </c:pt>
                <c:pt idx="2">
                  <c:v>3 рік</c:v>
                </c:pt>
                <c:pt idx="3">
                  <c:v>4 рік</c:v>
                </c:pt>
                <c:pt idx="4">
                  <c:v>5 рік</c:v>
                </c:pt>
              </c:strCache>
            </c:strRef>
          </c:cat>
          <c:val>
            <c:numRef>
              <c:f>'Розрахунок податків'!$C$38:$G$38</c:f>
              <c:numCache>
                <c:formatCode>#,##0</c:formatCode>
                <c:ptCount val="5"/>
                <c:pt idx="0">
                  <c:v>71485.993601999988</c:v>
                </c:pt>
                <c:pt idx="1">
                  <c:v>75955.096500641695</c:v>
                </c:pt>
                <c:pt idx="2">
                  <c:v>80390.274910964319</c:v>
                </c:pt>
                <c:pt idx="3">
                  <c:v>75664.633808359358</c:v>
                </c:pt>
                <c:pt idx="4">
                  <c:v>79160.424856727754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B-415C-94DF-E0F5DEC2C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41600"/>
        <c:axId val="191272064"/>
      </c:barChart>
      <c:catAx>
        <c:axId val="191241600"/>
        <c:scaling>
          <c:orientation val="minMax"/>
        </c:scaling>
        <c:delete val="0"/>
        <c:axPos val="b"/>
        <c:numFmt formatCode="mm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A"/>
          </a:p>
        </c:txPr>
        <c:crossAx val="191272064"/>
        <c:crosses val="autoZero"/>
        <c:auto val="1"/>
        <c:lblAlgn val="ctr"/>
        <c:lblOffset val="100"/>
        <c:noMultiLvlLbl val="1"/>
      </c:catAx>
      <c:valAx>
        <c:axId val="1912720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грн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1241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Чист</a:t>
            </a:r>
            <a:r>
              <a:rPr lang="uk-UA"/>
              <a:t>ий</a:t>
            </a:r>
            <a:r>
              <a:rPr lang="ru-RU"/>
              <a:t> прибуток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numRef>
              <c:f>ОФР!$C$4:$BJ$4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ОФР!$C$15:$BJ$15</c:f>
              <c:numCache>
                <c:formatCode>#,##0</c:formatCode>
                <c:ptCount val="60"/>
                <c:pt idx="0">
                  <c:v>223467.65459999995</c:v>
                </c:pt>
                <c:pt idx="1">
                  <c:v>102190.76069800001</c:v>
                </c:pt>
                <c:pt idx="2">
                  <c:v>-16106.91901849995</c:v>
                </c:pt>
                <c:pt idx="3">
                  <c:v>-72149.026352837056</c:v>
                </c:pt>
                <c:pt idx="4">
                  <c:v>-14329.747242149082</c:v>
                </c:pt>
                <c:pt idx="5">
                  <c:v>-13438.544985254459</c:v>
                </c:pt>
                <c:pt idx="6">
                  <c:v>-12545.459222717513</c:v>
                </c:pt>
                <c:pt idx="7">
                  <c:v>-11650.685495774262</c:v>
                </c:pt>
                <c:pt idx="8">
                  <c:v>-68399.165467610859</c:v>
                </c:pt>
                <c:pt idx="9">
                  <c:v>-9855.6562578498379</c:v>
                </c:pt>
                <c:pt idx="10">
                  <c:v>-8955.4917734944029</c:v>
                </c:pt>
                <c:pt idx="11">
                  <c:v>-8053.4213779283691</c:v>
                </c:pt>
                <c:pt idx="12">
                  <c:v>231505.98248754817</c:v>
                </c:pt>
                <c:pt idx="13">
                  <c:v>113188.46041720005</c:v>
                </c:pt>
                <c:pt idx="14">
                  <c:v>-6980.829519721121</c:v>
                </c:pt>
                <c:pt idx="15">
                  <c:v>-64733.022174816302</c:v>
                </c:pt>
                <c:pt idx="16">
                  <c:v>-5160.4223190666871</c:v>
                </c:pt>
                <c:pt idx="17">
                  <c:v>-4247.5212498645069</c:v>
                </c:pt>
                <c:pt idx="18">
                  <c:v>-3332.7824279891329</c:v>
                </c:pt>
                <c:pt idx="19">
                  <c:v>-2416.1012590592491</c:v>
                </c:pt>
                <c:pt idx="20">
                  <c:v>-60896.048509765438</c:v>
                </c:pt>
                <c:pt idx="21">
                  <c:v>-577.39344504983183</c:v>
                </c:pt>
                <c:pt idx="22">
                  <c:v>282.77080599673172</c:v>
                </c:pt>
                <c:pt idx="23">
                  <c:v>1040.4481255116934</c:v>
                </c:pt>
                <c:pt idx="24">
                  <c:v>240608.59577665117</c:v>
                </c:pt>
                <c:pt idx="25">
                  <c:v>118687.89852804469</c:v>
                </c:pt>
                <c:pt idx="26">
                  <c:v>-4690.4950116550554</c:v>
                </c:pt>
                <c:pt idx="27">
                  <c:v>-64204.583827347189</c:v>
                </c:pt>
                <c:pt idx="28">
                  <c:v>-2825.5373398946595</c:v>
                </c:pt>
                <c:pt idx="29">
                  <c:v>-1890.1774682439864</c:v>
                </c:pt>
                <c:pt idx="30">
                  <c:v>-953.02394691463542</c:v>
                </c:pt>
                <c:pt idx="31">
                  <c:v>-13.972041782084489</c:v>
                </c:pt>
                <c:pt idx="32">
                  <c:v>-60277.950805509114</c:v>
                </c:pt>
                <c:pt idx="33">
                  <c:v>1533.3556507888543</c:v>
                </c:pt>
                <c:pt idx="34">
                  <c:v>2308.0716262158548</c:v>
                </c:pt>
                <c:pt idx="35">
                  <c:v>3084.4419015814092</c:v>
                </c:pt>
                <c:pt idx="36">
                  <c:v>250280.01685567084</c:v>
                </c:pt>
                <c:pt idx="37">
                  <c:v>124646.63240783168</c:v>
                </c:pt>
                <c:pt idx="38">
                  <c:v>-1974.266580040683</c:v>
                </c:pt>
                <c:pt idx="39">
                  <c:v>-63304.044355632432</c:v>
                </c:pt>
                <c:pt idx="40">
                  <c:v>-63.403391964570801</c:v>
                </c:pt>
                <c:pt idx="41">
                  <c:v>733.81418413446954</c:v>
                </c:pt>
                <c:pt idx="42">
                  <c:v>1521.3011720938962</c:v>
                </c:pt>
                <c:pt idx="43">
                  <c:v>2310.3101825230815</c:v>
                </c:pt>
                <c:pt idx="44">
                  <c:v>-59285.024901874713</c:v>
                </c:pt>
                <c:pt idx="45">
                  <c:v>3893.2383210409994</c:v>
                </c:pt>
                <c:pt idx="46">
                  <c:v>4687.083499342566</c:v>
                </c:pt>
                <c:pt idx="47">
                  <c:v>5482.5488005899715</c:v>
                </c:pt>
                <c:pt idx="48">
                  <c:v>260099.06254011285</c:v>
                </c:pt>
                <c:pt idx="49">
                  <c:v>130639.89946504759</c:v>
                </c:pt>
                <c:pt idx="50">
                  <c:v>529.52898606622648</c:v>
                </c:pt>
                <c:pt idx="51">
                  <c:v>-62554.822554889972</c:v>
                </c:pt>
                <c:pt idx="52">
                  <c:v>2135.1422570366421</c:v>
                </c:pt>
                <c:pt idx="53">
                  <c:v>2940.4957077023278</c:v>
                </c:pt>
                <c:pt idx="54">
                  <c:v>3747.4158469950403</c:v>
                </c:pt>
                <c:pt idx="55">
                  <c:v>4556.0707966354994</c:v>
                </c:pt>
                <c:pt idx="56">
                  <c:v>-58440.606647479908</c:v>
                </c:pt>
                <c:pt idx="57">
                  <c:v>6178.1916653949575</c:v>
                </c:pt>
                <c:pt idx="58">
                  <c:v>6991.8298795816127</c:v>
                </c:pt>
                <c:pt idx="59">
                  <c:v>7807.0554943037332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1-45A6-945A-6A04E357A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342464"/>
        <c:axId val="191344000"/>
      </c:barChart>
      <c:dateAx>
        <c:axId val="191342464"/>
        <c:scaling>
          <c:orientation val="minMax"/>
        </c:scaling>
        <c:delete val="0"/>
        <c:axPos val="b"/>
        <c:numFmt formatCode="mm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A"/>
          </a:p>
        </c:txPr>
        <c:crossAx val="191344000"/>
        <c:crosses val="autoZero"/>
        <c:auto val="1"/>
        <c:lblOffset val="100"/>
        <c:baseTimeUnit val="months"/>
      </c:dateAx>
      <c:valAx>
        <c:axId val="1913440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грн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1342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Чистая прибыль накопленным итогом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Чистая прибыль накопленным итогом, руб.</c:v>
          </c:tx>
          <c:invertIfNegative val="0"/>
          <c:cat>
            <c:numRef>
              <c:f>ОФР!$C$4:$BJ$4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ОФР!$C$16:$BJ$16</c:f>
              <c:numCache>
                <c:formatCode>#,##0</c:formatCode>
                <c:ptCount val="60"/>
                <c:pt idx="0">
                  <c:v>223467.65459999995</c:v>
                </c:pt>
                <c:pt idx="1">
                  <c:v>325658.41529799998</c:v>
                </c:pt>
                <c:pt idx="2">
                  <c:v>309551.49627950002</c:v>
                </c:pt>
                <c:pt idx="3">
                  <c:v>237402.46992666298</c:v>
                </c:pt>
                <c:pt idx="4">
                  <c:v>223072.72268451389</c:v>
                </c:pt>
                <c:pt idx="5">
                  <c:v>209634.17769925942</c:v>
                </c:pt>
                <c:pt idx="6">
                  <c:v>197088.71847654192</c:v>
                </c:pt>
                <c:pt idx="7">
                  <c:v>185438.03298076766</c:v>
                </c:pt>
                <c:pt idx="8">
                  <c:v>117038.8675131568</c:v>
                </c:pt>
                <c:pt idx="9">
                  <c:v>107183.21125530696</c:v>
                </c:pt>
                <c:pt idx="10">
                  <c:v>98227.719481812557</c:v>
                </c:pt>
                <c:pt idx="11">
                  <c:v>90174.298103884183</c:v>
                </c:pt>
                <c:pt idx="12">
                  <c:v>321680.28059143235</c:v>
                </c:pt>
                <c:pt idx="13">
                  <c:v>434868.74100863241</c:v>
                </c:pt>
                <c:pt idx="14">
                  <c:v>427887.91148891131</c:v>
                </c:pt>
                <c:pt idx="15">
                  <c:v>363154.88931409502</c:v>
                </c:pt>
                <c:pt idx="16">
                  <c:v>357994.46699502831</c:v>
                </c:pt>
                <c:pt idx="17">
                  <c:v>353746.94574516383</c:v>
                </c:pt>
                <c:pt idx="18">
                  <c:v>350414.16331717471</c:v>
                </c:pt>
                <c:pt idx="19">
                  <c:v>347998.06205811544</c:v>
                </c:pt>
                <c:pt idx="20">
                  <c:v>287102.01354835002</c:v>
                </c:pt>
                <c:pt idx="21">
                  <c:v>286524.6201033002</c:v>
                </c:pt>
                <c:pt idx="22">
                  <c:v>286807.39090929693</c:v>
                </c:pt>
                <c:pt idx="23">
                  <c:v>287847.83903480863</c:v>
                </c:pt>
                <c:pt idx="24">
                  <c:v>528456.43481145985</c:v>
                </c:pt>
                <c:pt idx="25">
                  <c:v>647144.33333950455</c:v>
                </c:pt>
                <c:pt idx="26">
                  <c:v>642453.83832784952</c:v>
                </c:pt>
                <c:pt idx="27">
                  <c:v>578249.25450050237</c:v>
                </c:pt>
                <c:pt idx="28">
                  <c:v>575423.71716060769</c:v>
                </c:pt>
                <c:pt idx="29">
                  <c:v>573533.5396923637</c:v>
                </c:pt>
                <c:pt idx="30">
                  <c:v>572580.51574544911</c:v>
                </c:pt>
                <c:pt idx="31">
                  <c:v>572566.543703667</c:v>
                </c:pt>
                <c:pt idx="32">
                  <c:v>512288.59289815789</c:v>
                </c:pt>
                <c:pt idx="33">
                  <c:v>513821.94854894676</c:v>
                </c:pt>
                <c:pt idx="34">
                  <c:v>516130.02017516264</c:v>
                </c:pt>
                <c:pt idx="35">
                  <c:v>519214.46207674406</c:v>
                </c:pt>
                <c:pt idx="36">
                  <c:v>769494.4789324149</c:v>
                </c:pt>
                <c:pt idx="37">
                  <c:v>894141.11134024663</c:v>
                </c:pt>
                <c:pt idx="38">
                  <c:v>892166.84476020595</c:v>
                </c:pt>
                <c:pt idx="39">
                  <c:v>828862.80040457356</c:v>
                </c:pt>
                <c:pt idx="40">
                  <c:v>828799.39701260894</c:v>
                </c:pt>
                <c:pt idx="41">
                  <c:v>829533.21119674342</c:v>
                </c:pt>
                <c:pt idx="42">
                  <c:v>831054.51236883737</c:v>
                </c:pt>
                <c:pt idx="43">
                  <c:v>833364.82255136047</c:v>
                </c:pt>
                <c:pt idx="44">
                  <c:v>774079.79764948576</c:v>
                </c:pt>
                <c:pt idx="45">
                  <c:v>777973.03597052675</c:v>
                </c:pt>
                <c:pt idx="46">
                  <c:v>782660.1194698693</c:v>
                </c:pt>
                <c:pt idx="47">
                  <c:v>788142.66827045928</c:v>
                </c:pt>
                <c:pt idx="48">
                  <c:v>1048241.7308105722</c:v>
                </c:pt>
                <c:pt idx="49">
                  <c:v>1178881.6302756197</c:v>
                </c:pt>
                <c:pt idx="50">
                  <c:v>1179411.1592616858</c:v>
                </c:pt>
                <c:pt idx="51">
                  <c:v>1116856.3367067957</c:v>
                </c:pt>
                <c:pt idx="52">
                  <c:v>1118991.4789638324</c:v>
                </c:pt>
                <c:pt idx="53">
                  <c:v>1121931.9746715347</c:v>
                </c:pt>
                <c:pt idx="54">
                  <c:v>1125679.3905185298</c:v>
                </c:pt>
                <c:pt idx="55">
                  <c:v>1130235.4613151653</c:v>
                </c:pt>
                <c:pt idx="56">
                  <c:v>1071794.8546676855</c:v>
                </c:pt>
                <c:pt idx="57">
                  <c:v>1077973.0463330804</c:v>
                </c:pt>
                <c:pt idx="58">
                  <c:v>1084964.8762126621</c:v>
                </c:pt>
                <c:pt idx="59">
                  <c:v>1092771.9317069659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EA-4802-963F-944F1E93C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639552"/>
        <c:axId val="191641088"/>
      </c:barChart>
      <c:dateAx>
        <c:axId val="191639552"/>
        <c:scaling>
          <c:orientation val="minMax"/>
        </c:scaling>
        <c:delete val="0"/>
        <c:axPos val="b"/>
        <c:numFmt formatCode="mm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A"/>
          </a:p>
        </c:txPr>
        <c:crossAx val="191641088"/>
        <c:crosses val="autoZero"/>
        <c:auto val="1"/>
        <c:lblOffset val="100"/>
        <c:baseTimeUnit val="months"/>
      </c:dateAx>
      <c:valAx>
        <c:axId val="191641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грн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1639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Грошовий потік від проєкту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numRef>
              <c:f>ОДДС!$C$5:$BJ$5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ОДДС!$C$37:$BJ$37</c:f>
              <c:numCache>
                <c:formatCode>#,##0</c:formatCode>
                <c:ptCount val="60"/>
                <c:pt idx="0">
                  <c:v>645402.13469999982</c:v>
                </c:pt>
                <c:pt idx="1">
                  <c:v>103052.09403133322</c:v>
                </c:pt>
                <c:pt idx="2">
                  <c:v>-15245.58568516653</c:v>
                </c:pt>
                <c:pt idx="3">
                  <c:v>-71287.693019503728</c:v>
                </c:pt>
                <c:pt idx="4">
                  <c:v>-13468.41390881571</c:v>
                </c:pt>
                <c:pt idx="5">
                  <c:v>-12577.211651921039</c:v>
                </c:pt>
                <c:pt idx="6">
                  <c:v>-20244.45922271756</c:v>
                </c:pt>
                <c:pt idx="7">
                  <c:v>-19349.685495774262</c:v>
                </c:pt>
                <c:pt idx="8">
                  <c:v>-76098.165467610816</c:v>
                </c:pt>
                <c:pt idx="9">
                  <c:v>-17554.656257849885</c:v>
                </c:pt>
                <c:pt idx="10">
                  <c:v>-16654.491773494403</c:v>
                </c:pt>
                <c:pt idx="11">
                  <c:v>-15752.421377928345</c:v>
                </c:pt>
                <c:pt idx="12">
                  <c:v>223806.98248754814</c:v>
                </c:pt>
                <c:pt idx="13">
                  <c:v>105489.46041720011</c:v>
                </c:pt>
                <c:pt idx="14">
                  <c:v>-14679.829519721097</c:v>
                </c:pt>
                <c:pt idx="15">
                  <c:v>-72432.022174816346</c:v>
                </c:pt>
                <c:pt idx="16">
                  <c:v>-12859.422319066711</c:v>
                </c:pt>
                <c:pt idx="17">
                  <c:v>-11946.521249864483</c:v>
                </c:pt>
                <c:pt idx="18">
                  <c:v>-11031.782427989179</c:v>
                </c:pt>
                <c:pt idx="19">
                  <c:v>-10115.101259059273</c:v>
                </c:pt>
                <c:pt idx="20">
                  <c:v>-68595.048509765416</c:v>
                </c:pt>
                <c:pt idx="21">
                  <c:v>-8276.3934450498782</c:v>
                </c:pt>
                <c:pt idx="22">
                  <c:v>-7416.2291940032737</c:v>
                </c:pt>
                <c:pt idx="23">
                  <c:v>-6658.5518744882429</c:v>
                </c:pt>
                <c:pt idx="24">
                  <c:v>232909.59577665129</c:v>
                </c:pt>
                <c:pt idx="25">
                  <c:v>110988.89852804481</c:v>
                </c:pt>
                <c:pt idx="26">
                  <c:v>-12389.495011655032</c:v>
                </c:pt>
                <c:pt idx="27">
                  <c:v>-71903.583827347145</c:v>
                </c:pt>
                <c:pt idx="28">
                  <c:v>-10524.537339894683</c:v>
                </c:pt>
                <c:pt idx="29">
                  <c:v>-9589.1774682439864</c:v>
                </c:pt>
                <c:pt idx="30">
                  <c:v>-8652.023946914589</c:v>
                </c:pt>
                <c:pt idx="31">
                  <c:v>-7712.9720417821081</c:v>
                </c:pt>
                <c:pt idx="32">
                  <c:v>-67976.950805509114</c:v>
                </c:pt>
                <c:pt idx="33">
                  <c:v>-6165.6443492111284</c:v>
                </c:pt>
                <c:pt idx="34">
                  <c:v>-5390.9283737841761</c:v>
                </c:pt>
                <c:pt idx="35">
                  <c:v>-4614.5580984186381</c:v>
                </c:pt>
                <c:pt idx="36">
                  <c:v>242581.01685567084</c:v>
                </c:pt>
                <c:pt idx="37">
                  <c:v>116947.63240783173</c:v>
                </c:pt>
                <c:pt idx="38">
                  <c:v>-9673.266580040683</c:v>
                </c:pt>
                <c:pt idx="39">
                  <c:v>-71003.044355632388</c:v>
                </c:pt>
                <c:pt idx="40">
                  <c:v>-7762.4033919646172</c:v>
                </c:pt>
                <c:pt idx="41">
                  <c:v>-6965.1858158655232</c:v>
                </c:pt>
                <c:pt idx="42">
                  <c:v>-6177.6988279060461</c:v>
                </c:pt>
                <c:pt idx="43">
                  <c:v>-5388.6898174770176</c:v>
                </c:pt>
                <c:pt idx="44">
                  <c:v>-66984.024901874713</c:v>
                </c:pt>
                <c:pt idx="45">
                  <c:v>-3805.7616789590102</c:v>
                </c:pt>
                <c:pt idx="46">
                  <c:v>-3011.9165006574476</c:v>
                </c:pt>
                <c:pt idx="47">
                  <c:v>-2216.4511994100176</c:v>
                </c:pt>
                <c:pt idx="48">
                  <c:v>252400.06254011276</c:v>
                </c:pt>
                <c:pt idx="49">
                  <c:v>122940.89946504752</c:v>
                </c:pt>
                <c:pt idx="50">
                  <c:v>-7169.4710139337694</c:v>
                </c:pt>
                <c:pt idx="51">
                  <c:v>-70253.82255488995</c:v>
                </c:pt>
                <c:pt idx="52">
                  <c:v>-5563.8577429633588</c:v>
                </c:pt>
                <c:pt idx="53">
                  <c:v>-4758.5042922976427</c:v>
                </c:pt>
                <c:pt idx="54">
                  <c:v>-3951.584153004922</c:v>
                </c:pt>
                <c:pt idx="55">
                  <c:v>-3142.929203364416</c:v>
                </c:pt>
                <c:pt idx="56">
                  <c:v>-66139.60664747993</c:v>
                </c:pt>
                <c:pt idx="57">
                  <c:v>-1520.8083346050698</c:v>
                </c:pt>
                <c:pt idx="58">
                  <c:v>-707.17012041830458</c:v>
                </c:pt>
                <c:pt idx="59">
                  <c:v>108.05549430369865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4-4122-87B2-CFCB0A8F3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895808"/>
        <c:axId val="191909888"/>
      </c:barChart>
      <c:dateAx>
        <c:axId val="191895808"/>
        <c:scaling>
          <c:orientation val="minMax"/>
        </c:scaling>
        <c:delete val="0"/>
        <c:axPos val="b"/>
        <c:numFmt formatCode="mm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A"/>
          </a:p>
        </c:txPr>
        <c:crossAx val="191909888"/>
        <c:crosses val="autoZero"/>
        <c:auto val="1"/>
        <c:lblOffset val="100"/>
        <c:baseTimeUnit val="months"/>
      </c:dateAx>
      <c:valAx>
        <c:axId val="1919098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грн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1895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Грошовий</a:t>
            </a:r>
            <a:r>
              <a:rPr lang="ru-RU" baseline="0"/>
              <a:t> потік накопиченим ітогом</a:t>
            </a:r>
            <a:endParaRPr lang="ru-RU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numRef>
              <c:f>ОДДС!$C$5:$BJ$5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ОДДС!$C$38:$BJ$38</c:f>
              <c:numCache>
                <c:formatCode>#,##0</c:formatCode>
                <c:ptCount val="60"/>
                <c:pt idx="0">
                  <c:v>645402.13469999982</c:v>
                </c:pt>
                <c:pt idx="1">
                  <c:v>748454.22873133305</c:v>
                </c:pt>
                <c:pt idx="2">
                  <c:v>733208.64304616651</c:v>
                </c:pt>
                <c:pt idx="3">
                  <c:v>661920.95002666279</c:v>
                </c:pt>
                <c:pt idx="4">
                  <c:v>648452.53611784708</c:v>
                </c:pt>
                <c:pt idx="5">
                  <c:v>635875.32446592604</c:v>
                </c:pt>
                <c:pt idx="6">
                  <c:v>615630.86524320848</c:v>
                </c:pt>
                <c:pt idx="7">
                  <c:v>596281.17974743422</c:v>
                </c:pt>
                <c:pt idx="8">
                  <c:v>520183.0142798234</c:v>
                </c:pt>
                <c:pt idx="9">
                  <c:v>502628.35802197352</c:v>
                </c:pt>
                <c:pt idx="10">
                  <c:v>485973.86624847911</c:v>
                </c:pt>
                <c:pt idx="11">
                  <c:v>470221.44487055077</c:v>
                </c:pt>
                <c:pt idx="12">
                  <c:v>694028.42735809891</c:v>
                </c:pt>
                <c:pt idx="13">
                  <c:v>799517.88777529902</c:v>
                </c:pt>
                <c:pt idx="14">
                  <c:v>784838.05825557793</c:v>
                </c:pt>
                <c:pt idx="15">
                  <c:v>712406.03608076158</c:v>
                </c:pt>
                <c:pt idx="16">
                  <c:v>699546.61376169487</c:v>
                </c:pt>
                <c:pt idx="17">
                  <c:v>687600.09251183039</c:v>
                </c:pt>
                <c:pt idx="18">
                  <c:v>676568.31008384121</c:v>
                </c:pt>
                <c:pt idx="19">
                  <c:v>666453.20882478193</c:v>
                </c:pt>
                <c:pt idx="20">
                  <c:v>597858.16031501652</c:v>
                </c:pt>
                <c:pt idx="21">
                  <c:v>589581.76686996664</c:v>
                </c:pt>
                <c:pt idx="22">
                  <c:v>582165.53767596337</c:v>
                </c:pt>
                <c:pt idx="23">
                  <c:v>575506.98580147512</c:v>
                </c:pt>
                <c:pt idx="24">
                  <c:v>808416.58157812641</c:v>
                </c:pt>
                <c:pt idx="25">
                  <c:v>919405.48010617122</c:v>
                </c:pt>
                <c:pt idx="26">
                  <c:v>907015.98509451619</c:v>
                </c:pt>
                <c:pt idx="27">
                  <c:v>835112.40126716904</c:v>
                </c:pt>
                <c:pt idx="28">
                  <c:v>824587.86392727436</c:v>
                </c:pt>
                <c:pt idx="29">
                  <c:v>814998.68645903037</c:v>
                </c:pt>
                <c:pt idx="30">
                  <c:v>806346.66251211578</c:v>
                </c:pt>
                <c:pt idx="31">
                  <c:v>798633.69047033368</c:v>
                </c:pt>
                <c:pt idx="32">
                  <c:v>730656.73966482456</c:v>
                </c:pt>
                <c:pt idx="33">
                  <c:v>724491.09531561343</c:v>
                </c:pt>
                <c:pt idx="34">
                  <c:v>719100.16694182926</c:v>
                </c:pt>
                <c:pt idx="35">
                  <c:v>714485.60884341062</c:v>
                </c:pt>
                <c:pt idx="36">
                  <c:v>957066.62569908146</c:v>
                </c:pt>
                <c:pt idx="37">
                  <c:v>1074014.2581069132</c:v>
                </c:pt>
                <c:pt idx="38">
                  <c:v>1064340.9915268724</c:v>
                </c:pt>
                <c:pt idx="39">
                  <c:v>993337.94717124</c:v>
                </c:pt>
                <c:pt idx="40">
                  <c:v>985575.54377927538</c:v>
                </c:pt>
                <c:pt idx="41">
                  <c:v>978610.35796340986</c:v>
                </c:pt>
                <c:pt idx="42">
                  <c:v>972432.65913550381</c:v>
                </c:pt>
                <c:pt idx="43">
                  <c:v>967043.96931802679</c:v>
                </c:pt>
                <c:pt idx="44">
                  <c:v>900059.94441615208</c:v>
                </c:pt>
                <c:pt idx="45">
                  <c:v>896254.18273719307</c:v>
                </c:pt>
                <c:pt idx="46">
                  <c:v>893242.26623653562</c:v>
                </c:pt>
                <c:pt idx="47">
                  <c:v>891025.81503712561</c:v>
                </c:pt>
                <c:pt idx="48">
                  <c:v>1143425.8775772383</c:v>
                </c:pt>
                <c:pt idx="49">
                  <c:v>1266366.7770422858</c:v>
                </c:pt>
                <c:pt idx="50">
                  <c:v>1259197.3060283521</c:v>
                </c:pt>
                <c:pt idx="51">
                  <c:v>1188943.4834734621</c:v>
                </c:pt>
                <c:pt idx="52">
                  <c:v>1183379.6257304987</c:v>
                </c:pt>
                <c:pt idx="53">
                  <c:v>1178621.1214382011</c:v>
                </c:pt>
                <c:pt idx="54">
                  <c:v>1174669.5372851961</c:v>
                </c:pt>
                <c:pt idx="55">
                  <c:v>1171526.6080818316</c:v>
                </c:pt>
                <c:pt idx="56">
                  <c:v>1105387.0014343518</c:v>
                </c:pt>
                <c:pt idx="57">
                  <c:v>1103866.1930997467</c:v>
                </c:pt>
                <c:pt idx="58">
                  <c:v>1103159.0229793284</c:v>
                </c:pt>
                <c:pt idx="59">
                  <c:v>1103267.0784736322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24-46F7-85B2-76EF4BE15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947136"/>
        <c:axId val="191948672"/>
      </c:barChart>
      <c:dateAx>
        <c:axId val="191947136"/>
        <c:scaling>
          <c:orientation val="minMax"/>
        </c:scaling>
        <c:delete val="0"/>
        <c:axPos val="b"/>
        <c:numFmt formatCode="mm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A"/>
          </a:p>
        </c:txPr>
        <c:crossAx val="191948672"/>
        <c:crosses val="autoZero"/>
        <c:auto val="1"/>
        <c:lblOffset val="100"/>
        <c:baseTimeUnit val="months"/>
      </c:dateAx>
      <c:valAx>
        <c:axId val="1919486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грн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1947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Розрахунок точки беззбиктовості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'Розрахунок точки беззбитковості'!$A$5</c:f>
              <c:strCache>
                <c:ptCount val="1"/>
                <c:pt idx="0">
                  <c:v>Виручка</c:v>
                </c:pt>
              </c:strCache>
            </c:strRef>
          </c:tx>
          <c:marker>
            <c:symbol val="none"/>
          </c:marker>
          <c:cat>
            <c:numRef>
              <c:f>'Розрахунок точки беззбитковості'!$C$4:$X$4</c:f>
              <c:numCache>
                <c:formatCode>0%</c:formatCode>
                <c:ptCount val="22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  <c:pt idx="21">
                  <c:v>1.05</c:v>
                </c:pt>
              </c:numCache>
            </c:numRef>
          </c:cat>
          <c:val>
            <c:numRef>
              <c:f>'Розрахунок точки беззбитковості'!$C$5:$X$5</c:f>
              <c:numCache>
                <c:formatCode>#,##0</c:formatCode>
                <c:ptCount val="22"/>
                <c:pt idx="0">
                  <c:v>542806.68302217592</c:v>
                </c:pt>
                <c:pt idx="1">
                  <c:v>2714033.41511088</c:v>
                </c:pt>
                <c:pt idx="2">
                  <c:v>5428066.8302217601</c:v>
                </c:pt>
                <c:pt idx="3">
                  <c:v>8142100.2453326387</c:v>
                </c:pt>
                <c:pt idx="4">
                  <c:v>10856133.66044352</c:v>
                </c:pt>
                <c:pt idx="5">
                  <c:v>13570167.075554399</c:v>
                </c:pt>
                <c:pt idx="6">
                  <c:v>16284200.490665277</c:v>
                </c:pt>
                <c:pt idx="7">
                  <c:v>18998233.905776158</c:v>
                </c:pt>
                <c:pt idx="8">
                  <c:v>21712267.32088704</c:v>
                </c:pt>
                <c:pt idx="9">
                  <c:v>24426300.735997919</c:v>
                </c:pt>
                <c:pt idx="10">
                  <c:v>27140334.151108798</c:v>
                </c:pt>
                <c:pt idx="11">
                  <c:v>29854367.56621968</c:v>
                </c:pt>
                <c:pt idx="12">
                  <c:v>32568400.981330555</c:v>
                </c:pt>
                <c:pt idx="13">
                  <c:v>35282434.396441437</c:v>
                </c:pt>
                <c:pt idx="14">
                  <c:v>37996467.811552316</c:v>
                </c:pt>
                <c:pt idx="15">
                  <c:v>40710501.226663195</c:v>
                </c:pt>
                <c:pt idx="16">
                  <c:v>43424534.641774081</c:v>
                </c:pt>
                <c:pt idx="17">
                  <c:v>46138568.056884952</c:v>
                </c:pt>
                <c:pt idx="18">
                  <c:v>48852601.471995838</c:v>
                </c:pt>
                <c:pt idx="19">
                  <c:v>51566634.887106717</c:v>
                </c:pt>
                <c:pt idx="20">
                  <c:v>54280668.302217595</c:v>
                </c:pt>
                <c:pt idx="21">
                  <c:v>56994701.717328474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8-4678-BA0C-D02223F46F8F}"/>
            </c:ext>
          </c:extLst>
        </c:ser>
        <c:ser>
          <c:idx val="1"/>
          <c:order val="1"/>
          <c:tx>
            <c:strRef>
              <c:f>'Розрахунок точки беззбитковості'!$A$6</c:f>
              <c:strCache>
                <c:ptCount val="1"/>
                <c:pt idx="0">
                  <c:v>Витрати</c:v>
                </c:pt>
              </c:strCache>
            </c:strRef>
          </c:tx>
          <c:marker>
            <c:symbol val="none"/>
          </c:marker>
          <c:cat>
            <c:numRef>
              <c:f>'Розрахунок точки беззбитковості'!$C$4:$X$4</c:f>
              <c:numCache>
                <c:formatCode>0%</c:formatCode>
                <c:ptCount val="22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  <c:pt idx="21">
                  <c:v>1.05</c:v>
                </c:pt>
              </c:numCache>
            </c:numRef>
          </c:cat>
          <c:val>
            <c:numRef>
              <c:f>'Розрахунок точки беззбитковості'!$C$6:$X$6</c:f>
              <c:numCache>
                <c:formatCode>#,##0</c:formatCode>
                <c:ptCount val="22"/>
                <c:pt idx="0">
                  <c:v>18161382.810636405</c:v>
                </c:pt>
                <c:pt idx="1">
                  <c:v>19541101.172651526</c:v>
                </c:pt>
                <c:pt idx="2">
                  <c:v>21265749.125170425</c:v>
                </c:pt>
                <c:pt idx="3">
                  <c:v>22990397.077689327</c:v>
                </c:pt>
                <c:pt idx="4">
                  <c:v>24715045.03020823</c:v>
                </c:pt>
                <c:pt idx="5">
                  <c:v>26439692.982727129</c:v>
                </c:pt>
                <c:pt idx="6">
                  <c:v>28164340.935246028</c:v>
                </c:pt>
                <c:pt idx="7">
                  <c:v>29888988.887764931</c:v>
                </c:pt>
                <c:pt idx="8">
                  <c:v>31613636.840283833</c:v>
                </c:pt>
                <c:pt idx="9">
                  <c:v>33338284.792802736</c:v>
                </c:pt>
                <c:pt idx="10">
                  <c:v>35062932.745321631</c:v>
                </c:pt>
                <c:pt idx="11">
                  <c:v>36787580.697840542</c:v>
                </c:pt>
                <c:pt idx="12">
                  <c:v>38512228.650359437</c:v>
                </c:pt>
                <c:pt idx="13">
                  <c:v>40236876.60287834</c:v>
                </c:pt>
                <c:pt idx="14">
                  <c:v>41961524.555397242</c:v>
                </c:pt>
                <c:pt idx="15">
                  <c:v>43686172.507916138</c:v>
                </c:pt>
                <c:pt idx="16">
                  <c:v>45410820.460435048</c:v>
                </c:pt>
                <c:pt idx="17">
                  <c:v>47135468.412953943</c:v>
                </c:pt>
                <c:pt idx="18">
                  <c:v>48860116.365472846</c:v>
                </c:pt>
                <c:pt idx="19">
                  <c:v>50584764.317991748</c:v>
                </c:pt>
                <c:pt idx="20">
                  <c:v>52309412.270510644</c:v>
                </c:pt>
                <c:pt idx="21">
                  <c:v>54034060.223029554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8-4678-BA0C-D02223F46F8F}"/>
            </c:ext>
          </c:extLst>
        </c:ser>
        <c:ser>
          <c:idx val="2"/>
          <c:order val="2"/>
          <c:tx>
            <c:strRef>
              <c:f>'Розрахунок точки беззбитковості'!$A$9</c:f>
              <c:strCache>
                <c:ptCount val="1"/>
                <c:pt idx="0">
                  <c:v>Прибуток до вирахування податку на прибуток</c:v>
                </c:pt>
              </c:strCache>
            </c:strRef>
          </c:tx>
          <c:marker>
            <c:symbol val="none"/>
          </c:marker>
          <c:cat>
            <c:numRef>
              <c:f>'Розрахунок точки беззбитковості'!$C$4:$X$4</c:f>
              <c:numCache>
                <c:formatCode>0%</c:formatCode>
                <c:ptCount val="22"/>
                <c:pt idx="0">
                  <c:v>0.01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  <c:pt idx="21">
                  <c:v>1.05</c:v>
                </c:pt>
              </c:numCache>
            </c:numRef>
          </c:cat>
          <c:val>
            <c:numRef>
              <c:f>'Розрахунок точки беззбитковості'!$C$9:$X$9</c:f>
              <c:numCache>
                <c:formatCode>#,##0</c:formatCode>
                <c:ptCount val="22"/>
                <c:pt idx="0">
                  <c:v>-17618576.12761423</c:v>
                </c:pt>
                <c:pt idx="1">
                  <c:v>-16827067.757540647</c:v>
                </c:pt>
                <c:pt idx="2">
                  <c:v>-15837682.294948664</c:v>
                </c:pt>
                <c:pt idx="3">
                  <c:v>-14848296.832356688</c:v>
                </c:pt>
                <c:pt idx="4">
                  <c:v>-13858911.36976471</c:v>
                </c:pt>
                <c:pt idx="5">
                  <c:v>-12869525.90717273</c:v>
                </c:pt>
                <c:pt idx="6">
                  <c:v>-11880140.444580751</c:v>
                </c:pt>
                <c:pt idx="7">
                  <c:v>-10890754.981988773</c:v>
                </c:pt>
                <c:pt idx="8">
                  <c:v>-9901369.5193967931</c:v>
                </c:pt>
                <c:pt idx="9">
                  <c:v>-8911984.0568048172</c:v>
                </c:pt>
                <c:pt idx="10">
                  <c:v>-7922598.5942128338</c:v>
                </c:pt>
                <c:pt idx="11">
                  <c:v>-6933213.1316208616</c:v>
                </c:pt>
                <c:pt idx="12">
                  <c:v>-5943827.6690288819</c:v>
                </c:pt>
                <c:pt idx="13">
                  <c:v>-4954442.2064369023</c:v>
                </c:pt>
                <c:pt idx="14">
                  <c:v>-3965056.7438449264</c:v>
                </c:pt>
                <c:pt idx="15">
                  <c:v>-2975671.281252943</c:v>
                </c:pt>
                <c:pt idx="16">
                  <c:v>-1986285.8186609671</c:v>
                </c:pt>
                <c:pt idx="17">
                  <c:v>-996900.35606899112</c:v>
                </c:pt>
                <c:pt idx="18">
                  <c:v>-7514.8934770077467</c:v>
                </c:pt>
                <c:pt idx="19">
                  <c:v>981870.56911496818</c:v>
                </c:pt>
                <c:pt idx="20">
                  <c:v>1971256.0317069516</c:v>
                </c:pt>
                <c:pt idx="21">
                  <c:v>2960641.49429892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A8-4678-BA0C-D02223F46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081920"/>
        <c:axId val="192083456"/>
      </c:lineChart>
      <c:catAx>
        <c:axId val="192081920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2083456"/>
        <c:crosses val="autoZero"/>
        <c:auto val="1"/>
        <c:lblAlgn val="ctr"/>
        <c:lblOffset val="100"/>
        <c:noMultiLvlLbl val="0"/>
      </c:catAx>
      <c:valAx>
        <c:axId val="1920834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грн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20819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 alignWithMargins="0"/>
    <c:pageMargins b="1" l="0.75000000000000044" r="0.75000000000000044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Показники основної діяльності</a:t>
            </a:r>
          </a:p>
        </c:rich>
      </c:tx>
      <c:layout>
        <c:manualLayout>
          <c:xMode val="edge"/>
          <c:yMode val="edge"/>
          <c:x val="0.2616739398539038"/>
          <c:y val="4.0621266427718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01372905309914"/>
          <c:y val="0.23297572586149579"/>
          <c:w val="0.80492275388653345"/>
          <c:h val="0.5663102259402502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'Финансовий аналіз'!$A$16:$A$20</c:f>
              <c:strCache>
                <c:ptCount val="5"/>
                <c:pt idx="0">
                  <c:v>Середній обсяг реалізації продукції грн/міс.</c:v>
                </c:pt>
                <c:pt idx="1">
                  <c:v>Середній обсяг поточних витрат, грн/міс.</c:v>
                </c:pt>
                <c:pt idx="2">
                  <c:v>EBITDA, грн/міс.</c:v>
                </c:pt>
                <c:pt idx="3">
                  <c:v>Чистий прибуток, грн/міс.</c:v>
                </c:pt>
                <c:pt idx="4">
                  <c:v>Грошовий потік, грн/міс.</c:v>
                </c:pt>
              </c:strCache>
            </c:strRef>
          </c:cat>
          <c:val>
            <c:numRef>
              <c:f>'Финансовий аналіз'!$B$16:$B$20</c:f>
              <c:numCache>
                <c:formatCode>#,##0</c:formatCode>
                <c:ptCount val="5"/>
                <c:pt idx="0">
                  <c:v>904677.80503695994</c:v>
                </c:pt>
                <c:pt idx="1">
                  <c:v>865029.34974911367</c:v>
                </c:pt>
                <c:pt idx="2">
                  <c:v>39648.455287846504</c:v>
                </c:pt>
                <c:pt idx="3">
                  <c:v>18212.865528449431</c:v>
                </c:pt>
                <c:pt idx="4">
                  <c:v>18387.784641227205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7-4E36-A878-177648D21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295680"/>
        <c:axId val="192297216"/>
      </c:barChart>
      <c:catAx>
        <c:axId val="19229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229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22972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Показник, грн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2295680"/>
        <c:crosses val="autoZero"/>
        <c:crossBetween val="between"/>
      </c:valAx>
    </c:plotArea>
    <c:plotVisOnly val="1"/>
    <c:dispBlanksAs val="gap"/>
    <c:showDLblsOverMax val="0"/>
  </c:chart>
  <c:printSettings>
    <c:headerFooter alignWithMargins="0"/>
    <c:pageMargins b="1" l="0.75000000000000044" r="0.75000000000000044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Дисконтированный денежный поток накопленным итогом, грн</a:t>
            </a:r>
          </a:p>
        </c:rich>
      </c:tx>
      <c:layout>
        <c:manualLayout>
          <c:xMode val="edge"/>
          <c:yMode val="edge"/>
          <c:x val="0.14495066458938621"/>
          <c:y val="2.91737951360731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81536500194011E-2"/>
          <c:y val="0.1577066451985509"/>
          <c:w val="0.89060977268948105"/>
          <c:h val="0.6917586937118256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'Інвестиційний аналіз'!$C$5:$BJ$5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'Інвестиційний аналіз'!$C$16:$BJ$16</c:f>
              <c:numCache>
                <c:formatCode>#,##0</c:formatCode>
                <c:ptCount val="60"/>
                <c:pt idx="0">
                  <c:v>-173535.24762474361</c:v>
                </c:pt>
                <c:pt idx="1">
                  <c:v>-81219.108136058436</c:v>
                </c:pt>
                <c:pt idx="2">
                  <c:v>-104207.60058507731</c:v>
                </c:pt>
                <c:pt idx="3">
                  <c:v>-180421.04197247582</c:v>
                </c:pt>
                <c:pt idx="4">
                  <c:v>-201203.60149621303</c:v>
                </c:pt>
                <c:pt idx="5">
                  <c:v>-220914.46382935869</c:v>
                </c:pt>
                <c:pt idx="6">
                  <c:v>-239573.92535324622</c:v>
                </c:pt>
                <c:pt idx="7">
                  <c:v>-257202.15435418501</c:v>
                </c:pt>
                <c:pt idx="8">
                  <c:v>-325727.432480068</c:v>
                </c:pt>
                <c:pt idx="9">
                  <c:v>-341352.10041523544</c:v>
                </c:pt>
                <c:pt idx="10">
                  <c:v>-356003.92455520347</c:v>
                </c:pt>
                <c:pt idx="11">
                  <c:v>-369701.68227514112</c:v>
                </c:pt>
                <c:pt idx="12">
                  <c:v>-177340.41120386214</c:v>
                </c:pt>
                <c:pt idx="13">
                  <c:v>-87722.478008011953</c:v>
                </c:pt>
                <c:pt idx="14">
                  <c:v>-100049.23151340632</c:v>
                </c:pt>
                <c:pt idx="15">
                  <c:v>-160166.62689819821</c:v>
                </c:pt>
                <c:pt idx="16">
                  <c:v>-170716.15059850071</c:v>
                </c:pt>
                <c:pt idx="17">
                  <c:v>-180403.27103958218</c:v>
                </c:pt>
                <c:pt idx="18">
                  <c:v>-189245.07281210044</c:v>
                </c:pt>
                <c:pt idx="19">
                  <c:v>-197258.29467855772</c:v>
                </c:pt>
                <c:pt idx="20">
                  <c:v>-250970.32226368648</c:v>
                </c:pt>
                <c:pt idx="21">
                  <c:v>-257375.95085689926</c:v>
                </c:pt>
                <c:pt idx="22">
                  <c:v>-263049.37974375719</c:v>
                </c:pt>
                <c:pt idx="23">
                  <c:v>-268084.2015770186</c:v>
                </c:pt>
                <c:pt idx="24">
                  <c:v>-94010.346428829449</c:v>
                </c:pt>
                <c:pt idx="25">
                  <c:v>-12019.087657124546</c:v>
                </c:pt>
                <c:pt idx="26">
                  <c:v>-21065.6475827289</c:v>
                </c:pt>
                <c:pt idx="27">
                  <c:v>-72960.256441241057</c:v>
                </c:pt>
                <c:pt idx="28">
                  <c:v>-80468.123357614008</c:v>
                </c:pt>
                <c:pt idx="29">
                  <c:v>-87229.525320719622</c:v>
                </c:pt>
                <c:pt idx="30">
                  <c:v>-93259.492642237456</c:v>
                </c:pt>
                <c:pt idx="31">
                  <c:v>-98572.749965870287</c:v>
                </c:pt>
                <c:pt idx="32">
                  <c:v>-144858.00050370005</c:v>
                </c:pt>
                <c:pt idx="33">
                  <c:v>-149007.55292609468</c:v>
                </c:pt>
                <c:pt idx="34">
                  <c:v>-152593.70080268144</c:v>
                </c:pt>
                <c:pt idx="35">
                  <c:v>-155627.84765789218</c:v>
                </c:pt>
                <c:pt idx="36">
                  <c:v>2026.2044816752605</c:v>
                </c:pt>
                <c:pt idx="37">
                  <c:v>77150.706502230838</c:v>
                </c:pt>
                <c:pt idx="38">
                  <c:v>71008.772078342125</c:v>
                </c:pt>
                <c:pt idx="39">
                  <c:v>26448.192014728709</c:v>
                </c:pt>
                <c:pt idx="40">
                  <c:v>21633.018735791597</c:v>
                </c:pt>
                <c:pt idx="41">
                  <c:v>17362.405264216482</c:v>
                </c:pt>
                <c:pt idx="42">
                  <c:v>13618.48890902136</c:v>
                </c:pt>
                <c:pt idx="43">
                  <c:v>10390.556460493473</c:v>
                </c:pt>
                <c:pt idx="44">
                  <c:v>-29269.592251384693</c:v>
                </c:pt>
                <c:pt idx="45">
                  <c:v>-31496.829771386267</c:v>
                </c:pt>
                <c:pt idx="46">
                  <c:v>-33239.076748623869</c:v>
                </c:pt>
                <c:pt idx="47">
                  <c:v>-34506.339915585115</c:v>
                </c:pt>
                <c:pt idx="48">
                  <c:v>108133.20461593568</c:v>
                </c:pt>
                <c:pt idx="49">
                  <c:v>176806.6312348026</c:v>
                </c:pt>
                <c:pt idx="50">
                  <c:v>172848.21652581479</c:v>
                </c:pt>
                <c:pt idx="51">
                  <c:v>134508.75715115946</c:v>
                </c:pt>
                <c:pt idx="52">
                  <c:v>131507.5643975967</c:v>
                </c:pt>
                <c:pt idx="53">
                  <c:v>128970.50763602155</c:v>
                </c:pt>
                <c:pt idx="54">
                  <c:v>126888.06618337671</c:v>
                </c:pt>
                <c:pt idx="55">
                  <c:v>125250.9556228125</c:v>
                </c:pt>
                <c:pt idx="56">
                  <c:v>91198.623070688176</c:v>
                </c:pt>
                <c:pt idx="57">
                  <c:v>90424.693235898259</c:v>
                </c:pt>
                <c:pt idx="58">
                  <c:v>90068.985873688536</c:v>
                </c:pt>
                <c:pt idx="59">
                  <c:v>90122.708551577496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17-417B-88DC-646A285FD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445440"/>
        <c:axId val="192451328"/>
      </c:barChart>
      <c:dateAx>
        <c:axId val="1924454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A"/>
          </a:p>
        </c:txPr>
        <c:crossAx val="192451328"/>
        <c:crosses val="autoZero"/>
        <c:auto val="1"/>
        <c:lblOffset val="100"/>
        <c:baseTimeUnit val="months"/>
        <c:majorUnit val="4"/>
        <c:majorTimeUnit val="months"/>
        <c:minorUnit val="5"/>
        <c:minorTimeUnit val="days"/>
      </c:dateAx>
      <c:valAx>
        <c:axId val="192451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2445440"/>
        <c:crosses val="autoZero"/>
        <c:crossBetween val="between"/>
      </c:valAx>
    </c:plotArea>
    <c:plotVisOnly val="1"/>
    <c:dispBlanksAs val="gap"/>
    <c:showDLblsOverMax val="0"/>
  </c:chart>
  <c:printSettings>
    <c:headerFooter alignWithMargins="0"/>
    <c:pageMargins b="1" l="0.75000000000000044" r="0.75000000000000044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Дисконтированный денежный поток, грн</a:t>
            </a:r>
          </a:p>
        </c:rich>
      </c:tx>
      <c:layout>
        <c:manualLayout>
          <c:xMode val="edge"/>
          <c:yMode val="edge"/>
          <c:x val="0.31335308892840041"/>
          <c:y val="2.91658562599993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'Інвестиційний аналіз'!$A$14</c:f>
              <c:strCache>
                <c:ptCount val="1"/>
                <c:pt idx="0">
                  <c:v>Дисконтований гршовий потік</c:v>
                </c:pt>
              </c:strCache>
            </c:strRef>
          </c:tx>
          <c:invertIfNegative val="0"/>
          <c:cat>
            <c:numRef>
              <c:f>'Інвестиційний аналіз'!$C$5:$BJ$5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'Інвестиційний аналіз'!$C$14:$BJ$14</c:f>
              <c:numCache>
                <c:formatCode>#,##0</c:formatCode>
                <c:ptCount val="60"/>
                <c:pt idx="0">
                  <c:v>-173535.24762474361</c:v>
                </c:pt>
                <c:pt idx="1">
                  <c:v>92316.139488685178</c:v>
                </c:pt>
                <c:pt idx="2">
                  <c:v>-22988.492449018879</c:v>
                </c:pt>
                <c:pt idx="3">
                  <c:v>-76213.441387398503</c:v>
                </c:pt>
                <c:pt idx="4">
                  <c:v>-20782.559523737211</c:v>
                </c:pt>
                <c:pt idx="5">
                  <c:v>-19710.862333145658</c:v>
                </c:pt>
                <c:pt idx="6">
                  <c:v>-18659.461523887538</c:v>
                </c:pt>
                <c:pt idx="7">
                  <c:v>-17628.229000938805</c:v>
                </c:pt>
                <c:pt idx="8">
                  <c:v>-68525.278125882978</c:v>
                </c:pt>
                <c:pt idx="9">
                  <c:v>-15624.667935167416</c:v>
                </c:pt>
                <c:pt idx="10">
                  <c:v>-14651.824139968045</c:v>
                </c:pt>
                <c:pt idx="11">
                  <c:v>-13697.757719937674</c:v>
                </c:pt>
                <c:pt idx="12">
                  <c:v>192361.27107127898</c:v>
                </c:pt>
                <c:pt idx="13">
                  <c:v>89617.933195850186</c:v>
                </c:pt>
                <c:pt idx="14">
                  <c:v>-12326.753505394374</c:v>
                </c:pt>
                <c:pt idx="15">
                  <c:v>-60117.395384791875</c:v>
                </c:pt>
                <c:pt idx="16">
                  <c:v>-10549.523700302483</c:v>
                </c:pt>
                <c:pt idx="17">
                  <c:v>-9687.1204410814735</c:v>
                </c:pt>
                <c:pt idx="18">
                  <c:v>-8841.8017725182635</c:v>
                </c:pt>
                <c:pt idx="19">
                  <c:v>-8013.2218664572811</c:v>
                </c:pt>
                <c:pt idx="20">
                  <c:v>-53712.027585128752</c:v>
                </c:pt>
                <c:pt idx="21">
                  <c:v>-6405.6285932127712</c:v>
                </c:pt>
                <c:pt idx="22">
                  <c:v>-5673.4288868579179</c:v>
                </c:pt>
                <c:pt idx="23">
                  <c:v>-5034.8218332614188</c:v>
                </c:pt>
                <c:pt idx="24">
                  <c:v>174073.85514818915</c:v>
                </c:pt>
                <c:pt idx="25">
                  <c:v>81991.258771704903</c:v>
                </c:pt>
                <c:pt idx="26">
                  <c:v>-9046.5599256043533</c:v>
                </c:pt>
                <c:pt idx="27">
                  <c:v>-51894.608858512162</c:v>
                </c:pt>
                <c:pt idx="28">
                  <c:v>-7507.8669163729546</c:v>
                </c:pt>
                <c:pt idx="29">
                  <c:v>-6761.401963105609</c:v>
                </c:pt>
                <c:pt idx="30">
                  <c:v>-6029.9673215178291</c:v>
                </c:pt>
                <c:pt idx="31">
                  <c:v>-5313.257323632829</c:v>
                </c:pt>
                <c:pt idx="32">
                  <c:v>-46285.250537829765</c:v>
                </c:pt>
                <c:pt idx="33">
                  <c:v>-4149.5524223946386</c:v>
                </c:pt>
                <c:pt idx="34">
                  <c:v>-3586.1478765867791</c:v>
                </c:pt>
                <c:pt idx="35">
                  <c:v>-3034.1468552107308</c:v>
                </c:pt>
                <c:pt idx="36">
                  <c:v>157654.05213956744</c:v>
                </c:pt>
                <c:pt idx="37">
                  <c:v>75124.502020555577</c:v>
                </c:pt>
                <c:pt idx="38">
                  <c:v>-6141.934423888717</c:v>
                </c:pt>
                <c:pt idx="39">
                  <c:v>-44560.580063613415</c:v>
                </c:pt>
                <c:pt idx="40">
                  <c:v>-4815.1732789371117</c:v>
                </c:pt>
                <c:pt idx="41">
                  <c:v>-4270.6134715751159</c:v>
                </c:pt>
                <c:pt idx="42">
                  <c:v>-3743.9163551951228</c:v>
                </c:pt>
                <c:pt idx="43">
                  <c:v>-3227.9324485278862</c:v>
                </c:pt>
                <c:pt idx="44">
                  <c:v>-39660.148711878166</c:v>
                </c:pt>
                <c:pt idx="45">
                  <c:v>-2227.2375200015754</c:v>
                </c:pt>
                <c:pt idx="46">
                  <c:v>-1742.2469772376</c:v>
                </c:pt>
                <c:pt idx="47">
                  <c:v>-1267.2631669612424</c:v>
                </c:pt>
                <c:pt idx="48">
                  <c:v>142639.54453152081</c:v>
                </c:pt>
                <c:pt idx="49">
                  <c:v>68673.426618866913</c:v>
                </c:pt>
                <c:pt idx="50">
                  <c:v>-3958.4147089877983</c:v>
                </c:pt>
                <c:pt idx="51">
                  <c:v>-38339.459374655315</c:v>
                </c:pt>
                <c:pt idx="52">
                  <c:v>-3001.192753562761</c:v>
                </c:pt>
                <c:pt idx="53">
                  <c:v>-2537.0567615751506</c:v>
                </c:pt>
                <c:pt idx="54">
                  <c:v>-2082.4414526448313</c:v>
                </c:pt>
                <c:pt idx="55">
                  <c:v>-1637.1105605642044</c:v>
                </c:pt>
                <c:pt idx="56">
                  <c:v>-34052.332552124324</c:v>
                </c:pt>
                <c:pt idx="57">
                  <c:v>-773.92983478991516</c:v>
                </c:pt>
                <c:pt idx="58">
                  <c:v>-355.7073622097285</c:v>
                </c:pt>
                <c:pt idx="59">
                  <c:v>53.722677888955502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F-4557-876B-3766E96CD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12768"/>
        <c:axId val="192514304"/>
      </c:barChart>
      <c:dateAx>
        <c:axId val="192512768"/>
        <c:scaling>
          <c:orientation val="minMax"/>
        </c:scaling>
        <c:delete val="0"/>
        <c:axPos val="b"/>
        <c:numFmt formatCode="mm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A"/>
          </a:p>
        </c:txPr>
        <c:crossAx val="192514304"/>
        <c:crosses val="autoZero"/>
        <c:auto val="1"/>
        <c:lblOffset val="100"/>
        <c:baseTimeUnit val="months"/>
        <c:majorUnit val="4"/>
        <c:majorTimeUnit val="months"/>
        <c:minorUnit val="5"/>
        <c:minorTimeUnit val="days"/>
      </c:dateAx>
      <c:valAx>
        <c:axId val="1925143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92512768"/>
        <c:crosses val="autoZero"/>
        <c:crossBetween val="between"/>
      </c:valAx>
    </c:plotArea>
    <c:plotVisOnly val="1"/>
    <c:dispBlanksAs val="gap"/>
    <c:showDLblsOverMax val="0"/>
  </c:chart>
  <c:printSettings>
    <c:headerFooter alignWithMargins="0"/>
    <c:pageMargins b="1" l="0.75000000000000078" r="0.75000000000000078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A"/>
        </a:p>
      </c:txPr>
    </c:title>
    <c:autoTitleDeleted val="0"/>
    <c:plotArea>
      <c:layout>
        <c:manualLayout>
          <c:layoutTarget val="inner"/>
          <c:xMode val="edge"/>
          <c:yMode val="edge"/>
          <c:x val="0.22655314960629921"/>
          <c:y val="0.15319444444444469"/>
          <c:w val="0.76511351706036745"/>
          <c:h val="0.71775408282298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'Анализ чувствительности ЧПД'!$B$2</c:f>
              <c:strCache>
                <c:ptCount val="1"/>
                <c:pt idx="0">
                  <c:v>NPV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C0504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166-4C50-A86F-F030D153D762}"/>
              </c:ext>
            </c:extLst>
          </c:dPt>
          <c:dLbls>
            <c:dLbl>
              <c:idx val="0"/>
              <c:layout>
                <c:manualLayout>
                  <c:x val="2.7777777777777835E-3"/>
                  <c:y val="-0.134258894721493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n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66-4C50-A86F-F030D153D762}"/>
                </c:ext>
              </c:extLst>
            </c:dLbl>
            <c:dLbl>
              <c:idx val="1"/>
              <c:layout>
                <c:manualLayout>
                  <c:x val="5.5555555555555046E-3"/>
                  <c:y val="-9.72218576844560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n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66-4C50-A86F-F030D153D762}"/>
                </c:ext>
              </c:extLst>
            </c:dLbl>
            <c:dLbl>
              <c:idx val="2"/>
              <c:layout>
                <c:manualLayout>
                  <c:x val="0"/>
                  <c:y val="-0.11111111111111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n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6-4C50-A86F-F030D153D762}"/>
                </c:ext>
              </c:extLst>
            </c:dLbl>
            <c:dLbl>
              <c:idx val="3"/>
              <c:layout>
                <c:manualLayout>
                  <c:x val="0"/>
                  <c:y val="-0.1759259259259259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n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66-4C50-A86F-F030D153D762}"/>
                </c:ext>
              </c:extLst>
            </c:dLbl>
            <c:dLbl>
              <c:idx val="4"/>
              <c:layout>
                <c:manualLayout>
                  <c:x val="5.5555555555554491E-3"/>
                  <c:y val="-0.245370370370370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n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66-4C50-A86F-F030D153D76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mbria"/>
                    <a:ea typeface="Cambria"/>
                    <a:cs typeface="Cambria"/>
                  </a:defRPr>
                </a:pPr>
                <a:endParaRPr lang="en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'Анализ чувствительности ЧПД'!$C$3:$C$7</c:f>
              <c:numCache>
                <c:formatCode>0%</c:formatCode>
                <c:ptCount val="5"/>
                <c:pt idx="0">
                  <c:v>-0.2</c:v>
                </c:pt>
                <c:pt idx="1">
                  <c:v>-0.1</c:v>
                </c:pt>
                <c:pt idx="2">
                  <c:v>0</c:v>
                </c:pt>
                <c:pt idx="3">
                  <c:v>0.1</c:v>
                </c:pt>
                <c:pt idx="4">
                  <c:v>0.2</c:v>
                </c:pt>
              </c:numCache>
            </c:numRef>
          </c:cat>
          <c:val>
            <c:numRef>
              <c:f>'Анализ чувствительности ЧПД'!$B$3:$B$7</c:f>
              <c:numCache>
                <c:formatCode>[$Т-43F]#\ ##0</c:formatCode>
                <c:ptCount val="5"/>
                <c:pt idx="0">
                  <c:v>1043372145</c:v>
                </c:pt>
                <c:pt idx="1">
                  <c:v>1192309779</c:v>
                </c:pt>
                <c:pt idx="2">
                  <c:v>90122.708551577496</c:v>
                </c:pt>
                <c:pt idx="3">
                  <c:v>1982753956</c:v>
                </c:pt>
                <c:pt idx="4">
                  <c:v>2857134708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66-4C50-A86F-F030D153D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843776"/>
        <c:axId val="192845696"/>
      </c:barChart>
      <c:catAx>
        <c:axId val="192843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uk-UA"/>
                  <a:t>Изменение стоимости</a:t>
                </a:r>
                <a:r>
                  <a:rPr lang="uk-UA" baseline="0"/>
                  <a:t> аренды</a:t>
                </a:r>
                <a:endParaRPr lang="uk-UA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A"/>
          </a:p>
        </c:txPr>
        <c:crossAx val="192845696"/>
        <c:crosses val="autoZero"/>
        <c:auto val="1"/>
        <c:lblAlgn val="ctr"/>
        <c:lblOffset val="100"/>
        <c:noMultiLvlLbl val="0"/>
      </c:catAx>
      <c:valAx>
        <c:axId val="19284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Т-43F]#\ 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A"/>
          </a:p>
        </c:txPr>
        <c:crossAx val="1928437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A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Динам</a:t>
            </a:r>
            <a:r>
              <a:rPr lang="uk-UA"/>
              <a:t>і</a:t>
            </a:r>
            <a:r>
              <a:rPr lang="ru-RU"/>
              <a:t>ка виручки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Виручка без ПДВ</c:v>
          </c:tx>
          <c:invertIfNegative val="0"/>
          <c:cat>
            <c:strRef>
              <c:f>Доходи!$C$45:$G$45</c:f>
              <c:strCache>
                <c:ptCount val="5"/>
                <c:pt idx="0">
                  <c:v>1 рік</c:v>
                </c:pt>
                <c:pt idx="1">
                  <c:v>2 рік</c:v>
                </c:pt>
                <c:pt idx="2">
                  <c:v>3 рік</c:v>
                </c:pt>
                <c:pt idx="3">
                  <c:v>4 рік</c:v>
                </c:pt>
                <c:pt idx="4">
                  <c:v>5 рік</c:v>
                </c:pt>
              </c:strCache>
            </c:strRef>
          </c:cat>
          <c:val>
            <c:numRef>
              <c:f>Доходи!$C$62:$G$62</c:f>
              <c:numCache>
                <c:formatCode>#,##0</c:formatCode>
                <c:ptCount val="5"/>
                <c:pt idx="0">
                  <c:v>8172411.0698342677</c:v>
                </c:pt>
                <c:pt idx="1">
                  <c:v>8420982.7728138119</c:v>
                </c:pt>
                <c:pt idx="2">
                  <c:v>8677115.0220010988</c:v>
                </c:pt>
                <c:pt idx="3">
                  <c:v>8941037.778643826</c:v>
                </c:pt>
                <c:pt idx="4">
                  <c:v>9212987.9984810892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7-41F7-AC61-7C99CF445781}"/>
            </c:ext>
          </c:extLst>
        </c:ser>
        <c:ser>
          <c:idx val="1"/>
          <c:order val="1"/>
          <c:tx>
            <c:v>ПДВ</c:v>
          </c:tx>
          <c:invertIfNegative val="0"/>
          <c:val>
            <c:numRef>
              <c:f>Доходи!$C$63:$G$63</c:f>
              <c:numCache>
                <c:formatCode>#,##0</c:formatCode>
                <c:ptCount val="5"/>
                <c:pt idx="0">
                  <c:v>2043102.7674585669</c:v>
                </c:pt>
                <c:pt idx="1">
                  <c:v>2105245.6932034534</c:v>
                </c:pt>
                <c:pt idx="2">
                  <c:v>2169278.7555002747</c:v>
                </c:pt>
                <c:pt idx="3">
                  <c:v>2235259.4446609565</c:v>
                </c:pt>
                <c:pt idx="4">
                  <c:v>2303246.9996202723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5-49C3-AF57-DE73A754D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785792"/>
        <c:axId val="168787328"/>
      </c:barChart>
      <c:catAx>
        <c:axId val="16878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68787328"/>
        <c:crosses val="autoZero"/>
        <c:auto val="1"/>
        <c:lblAlgn val="ctr"/>
        <c:lblOffset val="100"/>
        <c:noMultiLvlLbl val="0"/>
      </c:catAx>
      <c:valAx>
        <c:axId val="1687873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грн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68785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Динаміка витрат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Расходы без учета амортизации</c:v>
          </c:tx>
          <c:invertIfNegative val="0"/>
          <c:cat>
            <c:numRef>
              <c:f>Витрати!$C$3:$BJ$3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Витрати!$C$27:$BJ$27</c:f>
              <c:numCache>
                <c:formatCode>#,##0</c:formatCode>
                <c:ptCount val="60"/>
                <c:pt idx="0">
                  <c:v>1257366.29</c:v>
                </c:pt>
                <c:pt idx="1">
                  <c:v>1013818.3327624999</c:v>
                </c:pt>
                <c:pt idx="2">
                  <c:v>770554.03881293756</c:v>
                </c:pt>
                <c:pt idx="3">
                  <c:v>673495.2528279759</c:v>
                </c:pt>
                <c:pt idx="4">
                  <c:v>773008.08198130724</c:v>
                </c:pt>
                <c:pt idx="5">
                  <c:v>774239.70681126055</c:v>
                </c:pt>
                <c:pt idx="6">
                  <c:v>775474.41070328874</c:v>
                </c:pt>
                <c:pt idx="7">
                  <c:v>776712.20135504683</c:v>
                </c:pt>
                <c:pt idx="8">
                  <c:v>678434.09918674757</c:v>
                </c:pt>
                <c:pt idx="9">
                  <c:v>779197.07382464292</c:v>
                </c:pt>
                <c:pt idx="10">
                  <c:v>780444.17113420437</c:v>
                </c:pt>
                <c:pt idx="11">
                  <c:v>781694.38618704001</c:v>
                </c:pt>
                <c:pt idx="12">
                  <c:v>1287181.6035550151</c:v>
                </c:pt>
                <c:pt idx="13">
                  <c:v>1037771.5260791769</c:v>
                </c:pt>
                <c:pt idx="14">
                  <c:v>787108.11584624986</c:v>
                </c:pt>
                <c:pt idx="15">
                  <c:v>687097.1940086924</c:v>
                </c:pt>
                <c:pt idx="16">
                  <c:v>789636.8010858926</c:v>
                </c:pt>
                <c:pt idx="17">
                  <c:v>790905.88696360728</c:v>
                </c:pt>
                <c:pt idx="18">
                  <c:v>792178.14555601624</c:v>
                </c:pt>
                <c:pt idx="19">
                  <c:v>793453.58479490632</c:v>
                </c:pt>
                <c:pt idx="20">
                  <c:v>692186.2601055149</c:v>
                </c:pt>
                <c:pt idx="21">
                  <c:v>796014.03703847318</c:v>
                </c:pt>
                <c:pt idx="22">
                  <c:v>797299.0660060693</c:v>
                </c:pt>
                <c:pt idx="23">
                  <c:v>798587.30754608451</c:v>
                </c:pt>
                <c:pt idx="24">
                  <c:v>1326497.7253798994</c:v>
                </c:pt>
                <c:pt idx="25">
                  <c:v>1069501.6017337618</c:v>
                </c:pt>
                <c:pt idx="26">
                  <c:v>811214.02401539753</c:v>
                </c:pt>
                <c:pt idx="27">
                  <c:v>708161.17428834888</c:v>
                </c:pt>
                <c:pt idx="28">
                  <c:v>813819.62163633713</c:v>
                </c:pt>
                <c:pt idx="29">
                  <c:v>815127.30797542783</c:v>
                </c:pt>
                <c:pt idx="30">
                  <c:v>816438.26353036647</c:v>
                </c:pt>
                <c:pt idx="31">
                  <c:v>817752.49647419248</c:v>
                </c:pt>
                <c:pt idx="32">
                  <c:v>713405.0292003022</c:v>
                </c:pt>
                <c:pt idx="33">
                  <c:v>820390.82732287887</c:v>
                </c:pt>
                <c:pt idx="34">
                  <c:v>821714.94167618593</c:v>
                </c:pt>
                <c:pt idx="35">
                  <c:v>823042.36631537636</c:v>
                </c:pt>
                <c:pt idx="36">
                  <c:v>1366588.6458123294</c:v>
                </c:pt>
                <c:pt idx="37">
                  <c:v>1101775.7391424326</c:v>
                </c:pt>
                <c:pt idx="38">
                  <c:v>835632.09758889244</c:v>
                </c:pt>
                <c:pt idx="39">
                  <c:v>729444.79682473163</c:v>
                </c:pt>
                <c:pt idx="40">
                  <c:v>838316.94695480436</c:v>
                </c:pt>
                <c:pt idx="41">
                  <c:v>839664.40782524133</c:v>
                </c:pt>
                <c:pt idx="42">
                  <c:v>841015.23734785442</c:v>
                </c:pt>
                <c:pt idx="43">
                  <c:v>842369.44394427398</c:v>
                </c:pt>
                <c:pt idx="44">
                  <c:v>734848.14860174758</c:v>
                </c:pt>
                <c:pt idx="45">
                  <c:v>845088.02215037763</c:v>
                </c:pt>
                <c:pt idx="46">
                  <c:v>846452.41070880345</c:v>
                </c:pt>
                <c:pt idx="47">
                  <c:v>847820.21023862541</c:v>
                </c:pt>
                <c:pt idx="48">
                  <c:v>1408012.8707419438</c:v>
                </c:pt>
                <c:pt idx="49">
                  <c:v>1135145.4261126351</c:v>
                </c:pt>
                <c:pt idx="50">
                  <c:v>860906.77102479886</c:v>
                </c:pt>
                <c:pt idx="51">
                  <c:v>751489.6818958337</c:v>
                </c:pt>
                <c:pt idx="52">
                  <c:v>863673.28265334351</c:v>
                </c:pt>
                <c:pt idx="53">
                  <c:v>865061.72783555847</c:v>
                </c:pt>
                <c:pt idx="54">
                  <c:v>866453.64413072879</c:v>
                </c:pt>
                <c:pt idx="55">
                  <c:v>867849.04021663719</c:v>
                </c:pt>
                <c:pt idx="56">
                  <c:v>757057.38178768824</c:v>
                </c:pt>
                <c:pt idx="57">
                  <c:v>870650.30658032361</c:v>
                </c:pt>
                <c:pt idx="58">
                  <c:v>872056.19432235591</c:v>
                </c:pt>
                <c:pt idx="59">
                  <c:v>873465.59678374324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A-4B47-ADD7-D98E9D5A1451}"/>
            </c:ext>
          </c:extLst>
        </c:ser>
        <c:ser>
          <c:idx val="1"/>
          <c:order val="1"/>
          <c:tx>
            <c:v>Расходы с учетом амортизации</c:v>
          </c:tx>
          <c:invertIfNegative val="0"/>
          <c:cat>
            <c:numRef>
              <c:f>Витрати!$C$3:$BJ$3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Витрати!$C$28:$BJ$28</c:f>
              <c:numCache>
                <c:formatCode>#,##0</c:formatCode>
                <c:ptCount val="60"/>
                <c:pt idx="0">
                  <c:v>1257366.29</c:v>
                </c:pt>
                <c:pt idx="1">
                  <c:v>1023191.8327624999</c:v>
                </c:pt>
                <c:pt idx="2">
                  <c:v>779927.53881293756</c:v>
                </c:pt>
                <c:pt idx="3">
                  <c:v>682868.7528279759</c:v>
                </c:pt>
                <c:pt idx="4">
                  <c:v>782381.58198130724</c:v>
                </c:pt>
                <c:pt idx="5">
                  <c:v>783613.20681126055</c:v>
                </c:pt>
                <c:pt idx="6">
                  <c:v>784847.91070328874</c:v>
                </c:pt>
                <c:pt idx="7">
                  <c:v>786085.70135504683</c:v>
                </c:pt>
                <c:pt idx="8">
                  <c:v>687807.59918674757</c:v>
                </c:pt>
                <c:pt idx="9">
                  <c:v>788570.57382464292</c:v>
                </c:pt>
                <c:pt idx="10">
                  <c:v>789817.67113420437</c:v>
                </c:pt>
                <c:pt idx="11">
                  <c:v>791067.88618704001</c:v>
                </c:pt>
                <c:pt idx="12">
                  <c:v>1296555.1035550151</c:v>
                </c:pt>
                <c:pt idx="13">
                  <c:v>1047145.0260791769</c:v>
                </c:pt>
                <c:pt idx="14">
                  <c:v>796481.61584624986</c:v>
                </c:pt>
                <c:pt idx="15">
                  <c:v>696470.6940086924</c:v>
                </c:pt>
                <c:pt idx="16">
                  <c:v>799010.3010858926</c:v>
                </c:pt>
                <c:pt idx="17">
                  <c:v>800279.38696360728</c:v>
                </c:pt>
                <c:pt idx="18">
                  <c:v>801551.64555601624</c:v>
                </c:pt>
                <c:pt idx="19">
                  <c:v>802827.08479490632</c:v>
                </c:pt>
                <c:pt idx="20">
                  <c:v>701559.7601055149</c:v>
                </c:pt>
                <c:pt idx="21">
                  <c:v>805387.53703847318</c:v>
                </c:pt>
                <c:pt idx="22">
                  <c:v>806672.5660060693</c:v>
                </c:pt>
                <c:pt idx="23">
                  <c:v>807960.80754608451</c:v>
                </c:pt>
                <c:pt idx="24">
                  <c:v>1335871.2253798994</c:v>
                </c:pt>
                <c:pt idx="25">
                  <c:v>1078875.1017337618</c:v>
                </c:pt>
                <c:pt idx="26">
                  <c:v>820587.52401539753</c:v>
                </c:pt>
                <c:pt idx="27">
                  <c:v>717534.67428834888</c:v>
                </c:pt>
                <c:pt idx="28">
                  <c:v>823193.12163633713</c:v>
                </c:pt>
                <c:pt idx="29">
                  <c:v>824500.80797542783</c:v>
                </c:pt>
                <c:pt idx="30">
                  <c:v>825811.76353036647</c:v>
                </c:pt>
                <c:pt idx="31">
                  <c:v>827125.99647419248</c:v>
                </c:pt>
                <c:pt idx="32">
                  <c:v>722778.5292003022</c:v>
                </c:pt>
                <c:pt idx="33">
                  <c:v>829764.32732287887</c:v>
                </c:pt>
                <c:pt idx="34">
                  <c:v>831088.44167618593</c:v>
                </c:pt>
                <c:pt idx="35">
                  <c:v>832415.86631537636</c:v>
                </c:pt>
                <c:pt idx="36">
                  <c:v>1375962.1458123294</c:v>
                </c:pt>
                <c:pt idx="37">
                  <c:v>1111149.2391424326</c:v>
                </c:pt>
                <c:pt idx="38">
                  <c:v>845005.59758889244</c:v>
                </c:pt>
                <c:pt idx="39">
                  <c:v>738818.29682473163</c:v>
                </c:pt>
                <c:pt idx="40">
                  <c:v>847690.44695480436</c:v>
                </c:pt>
                <c:pt idx="41">
                  <c:v>849037.90782524133</c:v>
                </c:pt>
                <c:pt idx="42">
                  <c:v>850388.73734785442</c:v>
                </c:pt>
                <c:pt idx="43">
                  <c:v>851742.94394427398</c:v>
                </c:pt>
                <c:pt idx="44">
                  <c:v>744221.64860174758</c:v>
                </c:pt>
                <c:pt idx="45">
                  <c:v>854461.52215037763</c:v>
                </c:pt>
                <c:pt idx="46">
                  <c:v>855825.91070880345</c:v>
                </c:pt>
                <c:pt idx="47">
                  <c:v>857193.71023862541</c:v>
                </c:pt>
                <c:pt idx="48">
                  <c:v>1417386.3707419438</c:v>
                </c:pt>
                <c:pt idx="49">
                  <c:v>1144518.9261126351</c:v>
                </c:pt>
                <c:pt idx="50">
                  <c:v>870280.27102479886</c:v>
                </c:pt>
                <c:pt idx="51">
                  <c:v>760863.1818958337</c:v>
                </c:pt>
                <c:pt idx="52">
                  <c:v>873046.78265334351</c:v>
                </c:pt>
                <c:pt idx="53">
                  <c:v>874435.22783555847</c:v>
                </c:pt>
                <c:pt idx="54">
                  <c:v>875827.14413072879</c:v>
                </c:pt>
                <c:pt idx="55">
                  <c:v>877222.54021663719</c:v>
                </c:pt>
                <c:pt idx="56">
                  <c:v>766430.88178768824</c:v>
                </c:pt>
                <c:pt idx="57">
                  <c:v>880023.80658032361</c:v>
                </c:pt>
                <c:pt idx="58">
                  <c:v>881429.69432235591</c:v>
                </c:pt>
                <c:pt idx="59">
                  <c:v>882839.09678374324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1A-4B47-ADD7-D98E9D5A1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67712"/>
        <c:axId val="168869248"/>
      </c:barChart>
      <c:dateAx>
        <c:axId val="1688677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68869248"/>
        <c:crosses val="autoZero"/>
        <c:auto val="1"/>
        <c:lblOffset val="100"/>
        <c:baseTimeUnit val="months"/>
      </c:dateAx>
      <c:valAx>
        <c:axId val="168869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тенге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68867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Динаміка</a:t>
            </a:r>
            <a:r>
              <a:rPr lang="ru-RU" baseline="0"/>
              <a:t> витрат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A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Витрати!$A$88</c:f>
              <c:strCache>
                <c:ptCount val="1"/>
                <c:pt idx="0">
                  <c:v>Змінні витрати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Витрати!$C$87:$G$87</c:f>
              <c:strCache>
                <c:ptCount val="5"/>
                <c:pt idx="0">
                  <c:v>1 рік</c:v>
                </c:pt>
                <c:pt idx="1">
                  <c:v>2 рік</c:v>
                </c:pt>
                <c:pt idx="2">
                  <c:v>3 рік</c:v>
                </c:pt>
                <c:pt idx="3">
                  <c:v>4 рік</c:v>
                </c:pt>
                <c:pt idx="4">
                  <c:v>5 рік</c:v>
                </c:pt>
              </c:strCache>
            </c:strRef>
          </c:cat>
          <c:val>
            <c:numRef>
              <c:f>Витрати!$C$88:$G$88</c:f>
              <c:numCache>
                <c:formatCode>0</c:formatCode>
                <c:ptCount val="5"/>
                <c:pt idx="0">
                  <c:v>6494140.2455869513</c:v>
                </c:pt>
                <c:pt idx="1">
                  <c:v>6689390.128585699</c:v>
                </c:pt>
                <c:pt idx="2">
                  <c:v>6892124.3475484755</c:v>
                </c:pt>
                <c:pt idx="3">
                  <c:v>7101024.9217801131</c:v>
                </c:pt>
                <c:pt idx="4">
                  <c:v>7316279.4068767894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2-4ADE-86B5-438CBA48A02A}"/>
            </c:ext>
          </c:extLst>
        </c:ser>
        <c:ser>
          <c:idx val="1"/>
          <c:order val="1"/>
          <c:tx>
            <c:strRef>
              <c:f>Витрати!$A$93</c:f>
              <c:strCache>
                <c:ptCount val="1"/>
                <c:pt idx="0">
                  <c:v>Постійні витрати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Витрати!$C$87:$G$87</c:f>
              <c:strCache>
                <c:ptCount val="5"/>
                <c:pt idx="0">
                  <c:v>1 рік</c:v>
                </c:pt>
                <c:pt idx="1">
                  <c:v>2 рік</c:v>
                </c:pt>
                <c:pt idx="2">
                  <c:v>3 рік</c:v>
                </c:pt>
                <c:pt idx="3">
                  <c:v>4 рік</c:v>
                </c:pt>
                <c:pt idx="4">
                  <c:v>5 рік</c:v>
                </c:pt>
              </c:strCache>
            </c:strRef>
          </c:cat>
          <c:val>
            <c:numRef>
              <c:f>Витрати!$C$92:$G$92</c:f>
              <c:numCache>
                <c:formatCode>#,##0</c:formatCode>
                <c:ptCount val="5"/>
                <c:pt idx="0">
                  <c:v>132082.49735752834</c:v>
                </c:pt>
                <c:pt idx="1">
                  <c:v>136099.91290618322</c:v>
                </c:pt>
                <c:pt idx="2">
                  <c:v>140239.52199306976</c:v>
                </c:pt>
                <c:pt idx="3">
                  <c:v>144505.04125158169</c:v>
                </c:pt>
                <c:pt idx="4">
                  <c:v>148900.3003600743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12-4ADE-86B5-438CBA48A02A}"/>
            </c:ext>
          </c:extLst>
        </c:ser>
        <c:ser>
          <c:idx val="2"/>
          <c:order val="2"/>
          <c:tx>
            <c:strRef>
              <c:f>Витрати!$A$110</c:f>
              <c:strCache>
                <c:ptCount val="1"/>
                <c:pt idx="0">
                  <c:v>Амортизація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Витрати!$C$87:$G$87</c:f>
              <c:strCache>
                <c:ptCount val="5"/>
                <c:pt idx="0">
                  <c:v>1 рік</c:v>
                </c:pt>
                <c:pt idx="1">
                  <c:v>2 рік</c:v>
                </c:pt>
                <c:pt idx="2">
                  <c:v>3 рік</c:v>
                </c:pt>
                <c:pt idx="3">
                  <c:v>4 рік</c:v>
                </c:pt>
                <c:pt idx="4">
                  <c:v>5 рік</c:v>
                </c:pt>
              </c:strCache>
            </c:strRef>
          </c:cat>
          <c:val>
            <c:numRef>
              <c:f>Витрати!$C$104:$G$104</c:f>
              <c:numCache>
                <c:formatCode>#,##0</c:formatCode>
                <c:ptCount val="5"/>
                <c:pt idx="0">
                  <c:v>60000</c:v>
                </c:pt>
                <c:pt idx="1">
                  <c:v>60000</c:v>
                </c:pt>
                <c:pt idx="2">
                  <c:v>60000</c:v>
                </c:pt>
                <c:pt idx="3">
                  <c:v>60000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12-4ADE-86B5-438CBA48A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894464"/>
        <c:axId val="168892672"/>
      </c:barChart>
      <c:valAx>
        <c:axId val="168892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A"/>
          </a:p>
        </c:txPr>
        <c:crossAx val="168894464"/>
        <c:crosses val="max"/>
        <c:crossBetween val="between"/>
      </c:valAx>
      <c:catAx>
        <c:axId val="16889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A"/>
          </a:p>
        </c:txPr>
        <c:crossAx val="168892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A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Структура витрат</a:t>
            </a:r>
          </a:p>
        </c:rich>
      </c:tx>
      <c:layout>
        <c:manualLayout>
          <c:xMode val="edge"/>
          <c:yMode val="edge"/>
          <c:x val="0.38904805864784175"/>
          <c:y val="4.1797293586476908E-2"/>
        </c:manualLayout>
      </c:layout>
      <c:overlay val="0"/>
    </c:title>
    <c:autoTitleDeleted val="0"/>
    <c:view3D>
      <c:rotX val="30"/>
      <c:rotY val="115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9.068089629292217E-2"/>
                  <c:y val="7.82431218713101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48-46A3-AB00-158561C7C83F}"/>
                </c:ext>
              </c:extLst>
            </c:dLbl>
            <c:dLbl>
              <c:idx val="2"/>
              <c:layout>
                <c:manualLayout>
                  <c:x val="-5.3857978496489725E-2"/>
                  <c:y val="-0.114749554828318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8-46A3-AB00-158561C7C83F}"/>
                </c:ext>
              </c:extLst>
            </c:dLbl>
            <c:dLbl>
              <c:idx val="3"/>
              <c:layout>
                <c:manualLayout>
                  <c:x val="-5.8982957708798814E-2"/>
                  <c:y val="-0.1269567907676985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8-46A3-AB00-158561C7C83F}"/>
                </c:ext>
              </c:extLst>
            </c:dLbl>
            <c:dLbl>
              <c:idx val="4"/>
              <c:layout>
                <c:manualLayout>
                  <c:x val="5.0391601397356149E-2"/>
                  <c:y val="1.555122394745436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8-46A3-AB00-158561C7C83F}"/>
                </c:ext>
              </c:extLst>
            </c:dLbl>
            <c:dLbl>
              <c:idx val="6"/>
              <c:layout>
                <c:manualLayout>
                  <c:x val="-8.1792115431602707E-3"/>
                  <c:y val="5.28975942314916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8-46A3-AB00-158561C7C8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Витрати!$A$116:$A$118</c:f>
              <c:strCache>
                <c:ptCount val="3"/>
                <c:pt idx="0">
                  <c:v>Змінні витрати</c:v>
                </c:pt>
                <c:pt idx="1">
                  <c:v>Адміністративні витрати</c:v>
                </c:pt>
                <c:pt idx="2">
                  <c:v>Страхові внески</c:v>
                </c:pt>
              </c:strCache>
            </c:strRef>
          </c:cat>
          <c:val>
            <c:numRef>
              <c:f>Витрати!$C$116:$C$118</c:f>
              <c:numCache>
                <c:formatCode>0.0000%</c:formatCode>
                <c:ptCount val="3"/>
                <c:pt idx="0">
                  <c:v>0.6575749160079517</c:v>
                </c:pt>
                <c:pt idx="1">
                  <c:v>9.1507359291158746E-3</c:v>
                </c:pt>
                <c:pt idx="2">
                  <c:v>3.2027575751905561E-2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48-46A3-AB00-158561C7C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b"/>
      <c:layout>
        <c:manualLayout>
          <c:xMode val="edge"/>
          <c:yMode val="edge"/>
          <c:x val="3.7928606031684048E-2"/>
          <c:y val="0.86226436192517353"/>
          <c:w val="0.8959475789664223"/>
          <c:h val="0.12465452173507906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 sz="1200"/>
      </a:pPr>
      <a:endParaRPr lang="en-UA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Графік інвестиційних витрат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'Інвестиційний план'!$C$4:$G$4</c:f>
              <c:numCache>
                <c:formatCode>mmm\-yy</c:formatCode>
                <c:ptCount val="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</c:numCache>
            </c:numRef>
          </c:cat>
          <c:val>
            <c:numRef>
              <c:f>'Інвестиційний план'!$C$15:$N$15</c:f>
              <c:numCache>
                <c:formatCode>#,##0</c:formatCode>
                <c:ptCount val="12"/>
                <c:pt idx="0">
                  <c:v>1418414.8503333335</c:v>
                </c:pt>
                <c:pt idx="1">
                  <c:v>8988.35</c:v>
                </c:pt>
                <c:pt idx="2">
                  <c:v>8988.35</c:v>
                </c:pt>
                <c:pt idx="3">
                  <c:v>8988.35</c:v>
                </c:pt>
                <c:pt idx="4">
                  <c:v>8988.35</c:v>
                </c:pt>
                <c:pt idx="5">
                  <c:v>8988.35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B-4B85-9F73-B4631DEE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8998784"/>
        <c:axId val="169000320"/>
      </c:barChart>
      <c:dateAx>
        <c:axId val="168998784"/>
        <c:scaling>
          <c:orientation val="minMax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69000320"/>
        <c:crosses val="autoZero"/>
        <c:auto val="1"/>
        <c:lblOffset val="100"/>
        <c:baseTimeUnit val="months"/>
      </c:dateAx>
      <c:valAx>
        <c:axId val="169000320"/>
        <c:scaling>
          <c:orientation val="minMax"/>
          <c:min val="9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грн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68998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Структура інвестиційних витрат</a:t>
            </a:r>
          </a:p>
        </c:rich>
      </c:tx>
      <c:overlay val="0"/>
    </c:title>
    <c:autoTitleDeleted val="0"/>
    <c:view3D>
      <c:rotX val="3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2.5255702724028776E-2"/>
                  <c:y val="-0.171451516051785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2B-4A19-BB42-34392FB45668}"/>
                </c:ext>
              </c:extLst>
            </c:dLbl>
            <c:dLbl>
              <c:idx val="2"/>
              <c:layout>
                <c:manualLayout>
                  <c:x val="6.7894055142548579E-2"/>
                  <c:y val="1.320712798618124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2B-4A19-BB42-34392FB45668}"/>
                </c:ext>
              </c:extLst>
            </c:dLbl>
            <c:dLbl>
              <c:idx val="6"/>
              <c:layout>
                <c:manualLayout>
                  <c:x val="-4.6759976749443974E-2"/>
                  <c:y val="-0.118747319597405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2B-4A19-BB42-34392FB4566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'Інвестиційний план'!$A$46:$A$49</c:f>
              <c:strCache>
                <c:ptCount val="4"/>
                <c:pt idx="0">
                  <c:v>Обробка і ремонт приміщення</c:v>
                </c:pt>
                <c:pt idx="1">
                  <c:v>Закупівля музейних експонатів та установочні роботи</c:v>
                </c:pt>
                <c:pt idx="2">
                  <c:v>Початковий маркетинг та позиціонування підприємства</c:v>
                </c:pt>
                <c:pt idx="3">
                  <c:v>Оборотні кошти</c:v>
                </c:pt>
              </c:strCache>
            </c:strRef>
          </c:cat>
          <c:val>
            <c:numRef>
              <c:f>'Інвестиційний план'!$B$46:$B$49</c:f>
              <c:numCache>
                <c:formatCode>#,##0</c:formatCode>
                <c:ptCount val="4"/>
                <c:pt idx="0">
                  <c:v>250000</c:v>
                </c:pt>
                <c:pt idx="1">
                  <c:v>562410</c:v>
                </c:pt>
                <c:pt idx="2">
                  <c:v>51362.000000000007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2B-4A19-BB42-34392FB4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b"/>
      <c:layout>
        <c:manualLayout>
          <c:xMode val="edge"/>
          <c:yMode val="edge"/>
          <c:x val="4.3438271514761963E-2"/>
          <c:y val="0.74787066000311686"/>
          <c:w val="0.89594768186444229"/>
          <c:h val="0.23510804300147428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Амортизаційні відрахування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Амортизація!$C$5:$BJ$5</c:f>
              <c:numCache>
                <c:formatCode>mmm\-yy</c:formatCode>
                <c:ptCount val="6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  <c:pt idx="56">
                  <c:v>46266</c:v>
                </c:pt>
                <c:pt idx="57">
                  <c:v>46296</c:v>
                </c:pt>
                <c:pt idx="58">
                  <c:v>46327</c:v>
                </c:pt>
                <c:pt idx="59">
                  <c:v>46357</c:v>
                </c:pt>
              </c:numCache>
            </c:numRef>
          </c:cat>
          <c:val>
            <c:numRef>
              <c:f>Амортизація!$C$16:$BJ$16</c:f>
              <c:numCache>
                <c:formatCode>#,##0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9373.5</c:v>
                </c:pt>
                <c:pt idx="5">
                  <c:v>9217.2749999999996</c:v>
                </c:pt>
                <c:pt idx="6">
                  <c:v>9063.6537499999995</c:v>
                </c:pt>
                <c:pt idx="7">
                  <c:v>8912.5928541666653</c:v>
                </c:pt>
                <c:pt idx="8">
                  <c:v>8764.0496399305539</c:v>
                </c:pt>
                <c:pt idx="9">
                  <c:v>8617.9821459317118</c:v>
                </c:pt>
                <c:pt idx="10">
                  <c:v>8474.3491101661839</c:v>
                </c:pt>
                <c:pt idx="11">
                  <c:v>8333.1099583300802</c:v>
                </c:pt>
                <c:pt idx="12">
                  <c:v>8194.2247923579143</c:v>
                </c:pt>
                <c:pt idx="13">
                  <c:v>8057.654379151948</c:v>
                </c:pt>
                <c:pt idx="14">
                  <c:v>7923.3601394994157</c:v>
                </c:pt>
                <c:pt idx="15">
                  <c:v>7791.3041371744257</c:v>
                </c:pt>
                <c:pt idx="16">
                  <c:v>7661.4490682215182</c:v>
                </c:pt>
                <c:pt idx="17">
                  <c:v>7533.7582504178254</c:v>
                </c:pt>
                <c:pt idx="18">
                  <c:v>7408.1956129108621</c:v>
                </c:pt>
                <c:pt idx="19">
                  <c:v>7284.7256860290145</c:v>
                </c:pt>
                <c:pt idx="20">
                  <c:v>7163.3135912618645</c:v>
                </c:pt>
                <c:pt idx="21">
                  <c:v>7043.9250314075007</c:v>
                </c:pt>
                <c:pt idx="22">
                  <c:v>6926.5262808840416</c:v>
                </c:pt>
                <c:pt idx="23">
                  <c:v>6811.0841762026421</c:v>
                </c:pt>
                <c:pt idx="24">
                  <c:v>6697.5661065992635</c:v>
                </c:pt>
                <c:pt idx="25">
                  <c:v>6585.9400048226089</c:v>
                </c:pt>
                <c:pt idx="26">
                  <c:v>6476.1743380755652</c:v>
                </c:pt>
                <c:pt idx="27">
                  <c:v>6368.2380991076388</c:v>
                </c:pt>
                <c:pt idx="28">
                  <c:v>6262.1007974558452</c:v>
                </c:pt>
                <c:pt idx="29">
                  <c:v>6157.7324508315805</c:v>
                </c:pt>
                <c:pt idx="30">
                  <c:v>6055.103576651054</c:v>
                </c:pt>
                <c:pt idx="31">
                  <c:v>5954.1851837068707</c:v>
                </c:pt>
                <c:pt idx="32">
                  <c:v>5854.9487639784229</c:v>
                </c:pt>
                <c:pt idx="33">
                  <c:v>5757.3662845787812</c:v>
                </c:pt>
                <c:pt idx="34">
                  <c:v>5661.4101798358015</c:v>
                </c:pt>
                <c:pt idx="35">
                  <c:v>5567.0533435052048</c:v>
                </c:pt>
                <c:pt idx="36">
                  <c:v>5474.2691211134515</c:v>
                </c:pt>
                <c:pt idx="37">
                  <c:v>5383.0313024282268</c:v>
                </c:pt>
                <c:pt idx="38">
                  <c:v>5293.314114054424</c:v>
                </c:pt>
                <c:pt idx="39">
                  <c:v>5205.0922121535159</c:v>
                </c:pt>
                <c:pt idx="40">
                  <c:v>5118.3406752842902</c:v>
                </c:pt>
                <c:pt idx="41">
                  <c:v>5033.0349973628863</c:v>
                </c:pt>
                <c:pt idx="42">
                  <c:v>4949.151080740171</c:v>
                </c:pt>
                <c:pt idx="43">
                  <c:v>4866.6652293945017</c:v>
                </c:pt>
                <c:pt idx="44">
                  <c:v>4785.5541422379274</c:v>
                </c:pt>
                <c:pt idx="45">
                  <c:v>4705.7949065339617</c:v>
                </c:pt>
                <c:pt idx="46">
                  <c:v>4627.3649914250627</c:v>
                </c:pt>
                <c:pt idx="47">
                  <c:v>4550.2422415679775</c:v>
                </c:pt>
                <c:pt idx="48">
                  <c:v>4474.4048708751779</c:v>
                </c:pt>
                <c:pt idx="49">
                  <c:v>4399.8314563605918</c:v>
                </c:pt>
                <c:pt idx="50">
                  <c:v>4326.5009320879153</c:v>
                </c:pt>
                <c:pt idx="51">
                  <c:v>4254.3925832197829</c:v>
                </c:pt>
                <c:pt idx="52">
                  <c:v>4183.4860401661199</c:v>
                </c:pt>
                <c:pt idx="53">
                  <c:v>4113.7612728300182</c:v>
                </c:pt>
                <c:pt idx="54">
                  <c:v>4045.1985849495181</c:v>
                </c:pt>
                <c:pt idx="55">
                  <c:v>3977.7786085336934</c:v>
                </c:pt>
                <c:pt idx="56">
                  <c:v>3911.4822983914651</c:v>
                </c:pt>
                <c:pt idx="57">
                  <c:v>3846.2909267516065</c:v>
                </c:pt>
                <c:pt idx="58">
                  <c:v>3782.1860779724138</c:v>
                </c:pt>
                <c:pt idx="59">
                  <c:v>3719.1496433395405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8-4BB6-AE86-648550759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665664"/>
        <c:axId val="189667200"/>
      </c:barChart>
      <c:dateAx>
        <c:axId val="189665664"/>
        <c:scaling>
          <c:orientation val="minMax"/>
        </c:scaling>
        <c:delete val="0"/>
        <c:axPos val="b"/>
        <c:numFmt formatCode="mm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A"/>
          </a:p>
        </c:txPr>
        <c:crossAx val="189667200"/>
        <c:crosses val="autoZero"/>
        <c:auto val="1"/>
        <c:lblOffset val="100"/>
        <c:baseTimeUnit val="months"/>
      </c:dateAx>
      <c:valAx>
        <c:axId val="1896672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89665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Майно на балансі підприємства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Амортизація!$D$26:$BJ$26</c:f>
              <c:numCache>
                <c:formatCode>mmm\-yy</c:formatCode>
                <c:ptCount val="59"/>
                <c:pt idx="0">
                  <c:v>44593</c:v>
                </c:pt>
                <c:pt idx="1">
                  <c:v>44621</c:v>
                </c:pt>
                <c:pt idx="2">
                  <c:v>44652</c:v>
                </c:pt>
                <c:pt idx="3">
                  <c:v>44682</c:v>
                </c:pt>
                <c:pt idx="4">
                  <c:v>44713</c:v>
                </c:pt>
                <c:pt idx="5">
                  <c:v>44743</c:v>
                </c:pt>
                <c:pt idx="6">
                  <c:v>44774</c:v>
                </c:pt>
                <c:pt idx="7">
                  <c:v>44805</c:v>
                </c:pt>
                <c:pt idx="8">
                  <c:v>44835</c:v>
                </c:pt>
                <c:pt idx="9">
                  <c:v>44866</c:v>
                </c:pt>
                <c:pt idx="10">
                  <c:v>44896</c:v>
                </c:pt>
                <c:pt idx="11">
                  <c:v>44927</c:v>
                </c:pt>
                <c:pt idx="12">
                  <c:v>44958</c:v>
                </c:pt>
                <c:pt idx="13">
                  <c:v>44986</c:v>
                </c:pt>
                <c:pt idx="14">
                  <c:v>45017</c:v>
                </c:pt>
                <c:pt idx="15">
                  <c:v>45047</c:v>
                </c:pt>
                <c:pt idx="16">
                  <c:v>45078</c:v>
                </c:pt>
                <c:pt idx="17">
                  <c:v>45108</c:v>
                </c:pt>
                <c:pt idx="18">
                  <c:v>45139</c:v>
                </c:pt>
                <c:pt idx="19">
                  <c:v>45170</c:v>
                </c:pt>
                <c:pt idx="20">
                  <c:v>45200</c:v>
                </c:pt>
                <c:pt idx="21">
                  <c:v>45231</c:v>
                </c:pt>
                <c:pt idx="22">
                  <c:v>45261</c:v>
                </c:pt>
                <c:pt idx="23">
                  <c:v>45292</c:v>
                </c:pt>
                <c:pt idx="24">
                  <c:v>45323</c:v>
                </c:pt>
                <c:pt idx="25">
                  <c:v>45352</c:v>
                </c:pt>
                <c:pt idx="26">
                  <c:v>45383</c:v>
                </c:pt>
                <c:pt idx="27">
                  <c:v>45413</c:v>
                </c:pt>
                <c:pt idx="28">
                  <c:v>45444</c:v>
                </c:pt>
                <c:pt idx="29">
                  <c:v>45474</c:v>
                </c:pt>
                <c:pt idx="30">
                  <c:v>45505</c:v>
                </c:pt>
                <c:pt idx="31">
                  <c:v>45536</c:v>
                </c:pt>
                <c:pt idx="32">
                  <c:v>45566</c:v>
                </c:pt>
                <c:pt idx="33">
                  <c:v>45597</c:v>
                </c:pt>
                <c:pt idx="34">
                  <c:v>45627</c:v>
                </c:pt>
                <c:pt idx="35">
                  <c:v>45658</c:v>
                </c:pt>
                <c:pt idx="36">
                  <c:v>45689</c:v>
                </c:pt>
                <c:pt idx="37">
                  <c:v>45717</c:v>
                </c:pt>
                <c:pt idx="38">
                  <c:v>45748</c:v>
                </c:pt>
                <c:pt idx="39">
                  <c:v>45778</c:v>
                </c:pt>
                <c:pt idx="40">
                  <c:v>45809</c:v>
                </c:pt>
                <c:pt idx="41">
                  <c:v>45839</c:v>
                </c:pt>
                <c:pt idx="42">
                  <c:v>45870</c:v>
                </c:pt>
                <c:pt idx="43">
                  <c:v>45901</c:v>
                </c:pt>
                <c:pt idx="44">
                  <c:v>45931</c:v>
                </c:pt>
                <c:pt idx="45">
                  <c:v>45962</c:v>
                </c:pt>
                <c:pt idx="46">
                  <c:v>45992</c:v>
                </c:pt>
                <c:pt idx="47">
                  <c:v>46023</c:v>
                </c:pt>
                <c:pt idx="48">
                  <c:v>46054</c:v>
                </c:pt>
                <c:pt idx="49">
                  <c:v>46082</c:v>
                </c:pt>
                <c:pt idx="50">
                  <c:v>46113</c:v>
                </c:pt>
                <c:pt idx="51">
                  <c:v>46143</c:v>
                </c:pt>
                <c:pt idx="52">
                  <c:v>46174</c:v>
                </c:pt>
                <c:pt idx="53">
                  <c:v>46204</c:v>
                </c:pt>
                <c:pt idx="54">
                  <c:v>46235</c:v>
                </c:pt>
                <c:pt idx="55">
                  <c:v>46266</c:v>
                </c:pt>
                <c:pt idx="56">
                  <c:v>46296</c:v>
                </c:pt>
                <c:pt idx="57">
                  <c:v>46327</c:v>
                </c:pt>
                <c:pt idx="58">
                  <c:v>46357</c:v>
                </c:pt>
              </c:numCache>
            </c:numRef>
          </c:cat>
          <c:val>
            <c:numRef>
              <c:f>Амортизація!$D$30:$BJ$30</c:f>
              <c:numCache>
                <c:formatCode>#,##0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562410</c:v>
                </c:pt>
                <c:pt idx="3">
                  <c:v>553036.5</c:v>
                </c:pt>
                <c:pt idx="4">
                  <c:v>543819.22499999998</c:v>
                </c:pt>
                <c:pt idx="5">
                  <c:v>534755.57124999992</c:v>
                </c:pt>
                <c:pt idx="6">
                  <c:v>525842.97839583328</c:v>
                </c:pt>
                <c:pt idx="7">
                  <c:v>517078.92875590274</c:v>
                </c:pt>
                <c:pt idx="8">
                  <c:v>508460.94660997106</c:v>
                </c:pt>
                <c:pt idx="9">
                  <c:v>499986.59749980486</c:v>
                </c:pt>
                <c:pt idx="10">
                  <c:v>491653.48754147481</c:v>
                </c:pt>
                <c:pt idx="11">
                  <c:v>483459.26274911687</c:v>
                </c:pt>
                <c:pt idx="12">
                  <c:v>475401.60836996493</c:v>
                </c:pt>
                <c:pt idx="13">
                  <c:v>467478.24823046551</c:v>
                </c:pt>
                <c:pt idx="14">
                  <c:v>459686.94409329107</c:v>
                </c:pt>
                <c:pt idx="15">
                  <c:v>452025.49502506957</c:v>
                </c:pt>
                <c:pt idx="16">
                  <c:v>444491.73677465174</c:v>
                </c:pt>
                <c:pt idx="17">
                  <c:v>437083.5411617409</c:v>
                </c:pt>
                <c:pt idx="18">
                  <c:v>429798.81547571189</c:v>
                </c:pt>
                <c:pt idx="19">
                  <c:v>422635.50188445003</c:v>
                </c:pt>
                <c:pt idx="20">
                  <c:v>415591.57685304253</c:v>
                </c:pt>
                <c:pt idx="21">
                  <c:v>408665.05057215848</c:v>
                </c:pt>
                <c:pt idx="22">
                  <c:v>401853.96639595582</c:v>
                </c:pt>
                <c:pt idx="23">
                  <c:v>395156.40028935653</c:v>
                </c:pt>
                <c:pt idx="24">
                  <c:v>388570.46028453391</c:v>
                </c:pt>
                <c:pt idx="25">
                  <c:v>382094.28594645835</c:v>
                </c:pt>
                <c:pt idx="26">
                  <c:v>375726.04784735071</c:v>
                </c:pt>
                <c:pt idx="27">
                  <c:v>369463.94704989484</c:v>
                </c:pt>
                <c:pt idx="28">
                  <c:v>363306.21459906327</c:v>
                </c:pt>
                <c:pt idx="29">
                  <c:v>357251.11102241219</c:v>
                </c:pt>
                <c:pt idx="30">
                  <c:v>351296.92583870533</c:v>
                </c:pt>
                <c:pt idx="31">
                  <c:v>345441.97707472689</c:v>
                </c:pt>
                <c:pt idx="32">
                  <c:v>339684.61079014809</c:v>
                </c:pt>
                <c:pt idx="33">
                  <c:v>334023.20061031228</c:v>
                </c:pt>
                <c:pt idx="34">
                  <c:v>328456.14726680709</c:v>
                </c:pt>
                <c:pt idx="35">
                  <c:v>322981.87814569363</c:v>
                </c:pt>
                <c:pt idx="36">
                  <c:v>317598.8468432654</c:v>
                </c:pt>
                <c:pt idx="37">
                  <c:v>312305.53272921097</c:v>
                </c:pt>
                <c:pt idx="38">
                  <c:v>307100.44051705743</c:v>
                </c:pt>
                <c:pt idx="39">
                  <c:v>301982.09984177316</c:v>
                </c:pt>
                <c:pt idx="40">
                  <c:v>296949.06484441028</c:v>
                </c:pt>
                <c:pt idx="41">
                  <c:v>291999.91376367013</c:v>
                </c:pt>
                <c:pt idx="42">
                  <c:v>287133.24853427563</c:v>
                </c:pt>
                <c:pt idx="43">
                  <c:v>282347.69439203769</c:v>
                </c:pt>
                <c:pt idx="44">
                  <c:v>277641.89948550373</c:v>
                </c:pt>
                <c:pt idx="45">
                  <c:v>273014.53449407866</c:v>
                </c:pt>
                <c:pt idx="46">
                  <c:v>268464.29225251067</c:v>
                </c:pt>
                <c:pt idx="47">
                  <c:v>263989.88738163549</c:v>
                </c:pt>
                <c:pt idx="48">
                  <c:v>259590.05592527491</c:v>
                </c:pt>
                <c:pt idx="49">
                  <c:v>255263.55499318699</c:v>
                </c:pt>
                <c:pt idx="50">
                  <c:v>251009.16240996722</c:v>
                </c:pt>
                <c:pt idx="51">
                  <c:v>246825.67636980111</c:v>
                </c:pt>
                <c:pt idx="52">
                  <c:v>242711.91509697109</c:v>
                </c:pt>
                <c:pt idx="53">
                  <c:v>238666.71651202158</c:v>
                </c:pt>
                <c:pt idx="54">
                  <c:v>234688.93790348788</c:v>
                </c:pt>
                <c:pt idx="55">
                  <c:v>230777.45560509642</c:v>
                </c:pt>
                <c:pt idx="56">
                  <c:v>226931.16467834482</c:v>
                </c:pt>
                <c:pt idx="57">
                  <c:v>223148.97860037241</c:v>
                </c:pt>
                <c:pt idx="58">
                  <c:v>219429.82895703288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3-45F9-8E64-70384BCDA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699584"/>
        <c:axId val="189701120"/>
      </c:lineChart>
      <c:dateAx>
        <c:axId val="189699584"/>
        <c:scaling>
          <c:orientation val="minMax"/>
        </c:scaling>
        <c:delete val="0"/>
        <c:axPos val="b"/>
        <c:numFmt formatCode="mm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A"/>
          </a:p>
        </c:txPr>
        <c:crossAx val="189701120"/>
        <c:crosses val="autoZero"/>
        <c:auto val="1"/>
        <c:lblOffset val="100"/>
        <c:baseTimeUnit val="months"/>
      </c:dateAx>
      <c:valAx>
        <c:axId val="18970112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A"/>
          </a:p>
        </c:txPr>
        <c:crossAx val="189699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247089</xdr:colOff>
      <xdr:row>70</xdr:row>
      <xdr:rowOff>73397</xdr:rowOff>
    </xdr:from>
    <xdr:to>
      <xdr:col>15</xdr:col>
      <xdr:colOff>323289</xdr:colOff>
      <xdr:row>89</xdr:row>
      <xdr:rowOff>176678</xdr:rowOff>
    </xdr:to>
    <xdr:graphicFrame macro="">
      <xdr:nvGraphicFramePr>
        <xdr:cNvPr id="28771553" name="Диаграмма 1">
          <a:extLst>
            <a:ext uri="{FF2B5EF4-FFF2-40B4-BE49-F238E27FC236}">
              <a16:creationId xmlns:a16="http://schemas.microsoft.com/office/drawing/2014/main" id="{00000000-0008-0000-0200-0000E104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136712</xdr:colOff>
      <xdr:row>70</xdr:row>
      <xdr:rowOff>91327</xdr:rowOff>
    </xdr:from>
    <xdr:to>
      <xdr:col>7</xdr:col>
      <xdr:colOff>39781</xdr:colOff>
      <xdr:row>90</xdr:row>
      <xdr:rowOff>40901</xdr:rowOff>
    </xdr:to>
    <xdr:graphicFrame macro="">
      <xdr:nvGraphicFramePr>
        <xdr:cNvPr id="28771554" name="Диаграмма 1">
          <a:extLst>
            <a:ext uri="{FF2B5EF4-FFF2-40B4-BE49-F238E27FC236}">
              <a16:creationId xmlns:a16="http://schemas.microsoft.com/office/drawing/2014/main" id="{00000000-0008-0000-0200-0000E204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20</xdr:row>
      <xdr:rowOff>76200</xdr:rowOff>
    </xdr:from>
    <xdr:to>
      <xdr:col>10</xdr:col>
      <xdr:colOff>762000</xdr:colOff>
      <xdr:row>38</xdr:row>
      <xdr:rowOff>28575</xdr:rowOff>
    </xdr:to>
    <xdr:graphicFrame macro="">
      <xdr:nvGraphicFramePr>
        <xdr:cNvPr id="28797134" name="Chart 1026">
          <a:extLst>
            <a:ext uri="{FF2B5EF4-FFF2-40B4-BE49-F238E27FC236}">
              <a16:creationId xmlns:a16="http://schemas.microsoft.com/office/drawing/2014/main" id="{00000000-0008-0000-0D00-0000CE68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600075</xdr:colOff>
      <xdr:row>39</xdr:row>
      <xdr:rowOff>9525</xdr:rowOff>
    </xdr:from>
    <xdr:to>
      <xdr:col>10</xdr:col>
      <xdr:colOff>752475</xdr:colOff>
      <xdr:row>53</xdr:row>
      <xdr:rowOff>133350</xdr:rowOff>
    </xdr:to>
    <xdr:graphicFrame macro="">
      <xdr:nvGraphicFramePr>
        <xdr:cNvPr id="28797135" name="Chart 1026">
          <a:extLst>
            <a:ext uri="{FF2B5EF4-FFF2-40B4-BE49-F238E27FC236}">
              <a16:creationId xmlns:a16="http://schemas.microsoft.com/office/drawing/2014/main" id="{00000000-0008-0000-0D00-0000CF68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9525</xdr:rowOff>
    </xdr:from>
    <xdr:to>
      <xdr:col>11</xdr:col>
      <xdr:colOff>314325</xdr:colOff>
      <xdr:row>17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30</xdr:row>
      <xdr:rowOff>95250</xdr:rowOff>
    </xdr:from>
    <xdr:to>
      <xdr:col>16</xdr:col>
      <xdr:colOff>157113</xdr:colOff>
      <xdr:row>65</xdr:row>
      <xdr:rowOff>29458</xdr:rowOff>
    </xdr:to>
    <xdr:graphicFrame macro="">
      <xdr:nvGraphicFramePr>
        <xdr:cNvPr id="28775733" name="Диаграмма 4">
          <a:extLst>
            <a:ext uri="{FF2B5EF4-FFF2-40B4-BE49-F238E27FC236}">
              <a16:creationId xmlns:a16="http://schemas.microsoft.com/office/drawing/2014/main" id="{00000000-0008-0000-0300-00003515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</xdr:colOff>
      <xdr:row>85</xdr:row>
      <xdr:rowOff>142876</xdr:rowOff>
    </xdr:from>
    <xdr:to>
      <xdr:col>15</xdr:col>
      <xdr:colOff>211931</xdr:colOff>
      <xdr:row>124</xdr:row>
      <xdr:rowOff>95250</xdr:rowOff>
    </xdr:to>
    <xdr:graphicFrame macro="">
      <xdr:nvGraphicFramePr>
        <xdr:cNvPr id="28775734" name="Диаграмма 4">
          <a:extLst>
            <a:ext uri="{FF2B5EF4-FFF2-40B4-BE49-F238E27FC236}">
              <a16:creationId xmlns:a16="http://schemas.microsoft.com/office/drawing/2014/main" id="{00000000-0008-0000-0300-00003615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928687</xdr:colOff>
      <xdr:row>132</xdr:row>
      <xdr:rowOff>76200</xdr:rowOff>
    </xdr:from>
    <xdr:to>
      <xdr:col>12</xdr:col>
      <xdr:colOff>892968</xdr:colOff>
      <xdr:row>159</xdr:row>
      <xdr:rowOff>133350</xdr:rowOff>
    </xdr:to>
    <xdr:graphicFrame macro="">
      <xdr:nvGraphicFramePr>
        <xdr:cNvPr id="28775735" name="Диаграмма 1">
          <a:extLst>
            <a:ext uri="{FF2B5EF4-FFF2-40B4-BE49-F238E27FC236}">
              <a16:creationId xmlns:a16="http://schemas.microsoft.com/office/drawing/2014/main" id="{00000000-0008-0000-0300-00003715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890587</xdr:colOff>
      <xdr:row>21</xdr:row>
      <xdr:rowOff>69054</xdr:rowOff>
    </xdr:from>
    <xdr:to>
      <xdr:col>14</xdr:col>
      <xdr:colOff>526257</xdr:colOff>
      <xdr:row>42</xdr:row>
      <xdr:rowOff>88105</xdr:rowOff>
    </xdr:to>
    <xdr:graphicFrame macro="">
      <xdr:nvGraphicFramePr>
        <xdr:cNvPr id="28779727" name="Диаграмма 3">
          <a:extLst>
            <a:ext uri="{FF2B5EF4-FFF2-40B4-BE49-F238E27FC236}">
              <a16:creationId xmlns:a16="http://schemas.microsoft.com/office/drawing/2014/main" id="{00000000-0008-0000-0400-0000CF24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631032</xdr:colOff>
      <xdr:row>21</xdr:row>
      <xdr:rowOff>38100</xdr:rowOff>
    </xdr:from>
    <xdr:to>
      <xdr:col>20</xdr:col>
      <xdr:colOff>454819</xdr:colOff>
      <xdr:row>45</xdr:row>
      <xdr:rowOff>19050</xdr:rowOff>
    </xdr:to>
    <xdr:graphicFrame macro="">
      <xdr:nvGraphicFramePr>
        <xdr:cNvPr id="28779728" name="Диаграмма 4">
          <a:extLst>
            <a:ext uri="{FF2B5EF4-FFF2-40B4-BE49-F238E27FC236}">
              <a16:creationId xmlns:a16="http://schemas.microsoft.com/office/drawing/2014/main" id="{00000000-0008-0000-0400-0000D024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180474</xdr:colOff>
      <xdr:row>31</xdr:row>
      <xdr:rowOff>50132</xdr:rowOff>
    </xdr:from>
    <xdr:to>
      <xdr:col>13</xdr:col>
      <xdr:colOff>362953</xdr:colOff>
      <xdr:row>50</xdr:row>
      <xdr:rowOff>30079</xdr:rowOff>
    </xdr:to>
    <xdr:graphicFrame macro="">
      <xdr:nvGraphicFramePr>
        <xdr:cNvPr id="28046619" name="Диаграмма 1">
          <a:extLst>
            <a:ext uri="{FF2B5EF4-FFF2-40B4-BE49-F238E27FC236}">
              <a16:creationId xmlns:a16="http://schemas.microsoft.com/office/drawing/2014/main" id="{00000000-0008-0000-0600-00001BF5A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167439</xdr:colOff>
      <xdr:row>51</xdr:row>
      <xdr:rowOff>50132</xdr:rowOff>
    </xdr:from>
    <xdr:to>
      <xdr:col>13</xdr:col>
      <xdr:colOff>224589</xdr:colOff>
      <xdr:row>68</xdr:row>
      <xdr:rowOff>17546</xdr:rowOff>
    </xdr:to>
    <xdr:graphicFrame macro="">
      <xdr:nvGraphicFramePr>
        <xdr:cNvPr id="28046620" name="Диаграмма 2">
          <a:extLst>
            <a:ext uri="{FF2B5EF4-FFF2-40B4-BE49-F238E27FC236}">
              <a16:creationId xmlns:a16="http://schemas.microsoft.com/office/drawing/2014/main" id="{00000000-0008-0000-0600-00001CF5A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1045369</xdr:colOff>
      <xdr:row>28</xdr:row>
      <xdr:rowOff>57150</xdr:rowOff>
    </xdr:from>
    <xdr:to>
      <xdr:col>17</xdr:col>
      <xdr:colOff>571500</xdr:colOff>
      <xdr:row>45</xdr:row>
      <xdr:rowOff>123031</xdr:rowOff>
    </xdr:to>
    <xdr:graphicFrame macro="">
      <xdr:nvGraphicFramePr>
        <xdr:cNvPr id="28784743" name="Диаграмма 1">
          <a:extLst>
            <a:ext uri="{FF2B5EF4-FFF2-40B4-BE49-F238E27FC236}">
              <a16:creationId xmlns:a16="http://schemas.microsoft.com/office/drawing/2014/main" id="{00000000-0008-0000-0800-00006738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21</xdr:row>
      <xdr:rowOff>152400</xdr:rowOff>
    </xdr:from>
    <xdr:to>
      <xdr:col>9</xdr:col>
      <xdr:colOff>714375</xdr:colOff>
      <xdr:row>38</xdr:row>
      <xdr:rowOff>104775</xdr:rowOff>
    </xdr:to>
    <xdr:graphicFrame macro="">
      <xdr:nvGraphicFramePr>
        <xdr:cNvPr id="28786929" name="Диаграмма 3">
          <a:extLst>
            <a:ext uri="{FF2B5EF4-FFF2-40B4-BE49-F238E27FC236}">
              <a16:creationId xmlns:a16="http://schemas.microsoft.com/office/drawing/2014/main" id="{00000000-0008-0000-0900-0000F140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885825</xdr:colOff>
      <xdr:row>21</xdr:row>
      <xdr:rowOff>133350</xdr:rowOff>
    </xdr:from>
    <xdr:to>
      <xdr:col>20</xdr:col>
      <xdr:colOff>180975</xdr:colOff>
      <xdr:row>38</xdr:row>
      <xdr:rowOff>38100</xdr:rowOff>
    </xdr:to>
    <xdr:graphicFrame macro="">
      <xdr:nvGraphicFramePr>
        <xdr:cNvPr id="28786930" name="Диаграмма 4">
          <a:extLst>
            <a:ext uri="{FF2B5EF4-FFF2-40B4-BE49-F238E27FC236}">
              <a16:creationId xmlns:a16="http://schemas.microsoft.com/office/drawing/2014/main" id="{00000000-0008-0000-0900-0000F240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57</xdr:row>
      <xdr:rowOff>47625</xdr:rowOff>
    </xdr:from>
    <xdr:to>
      <xdr:col>7</xdr:col>
      <xdr:colOff>533400</xdr:colOff>
      <xdr:row>73</xdr:row>
      <xdr:rowOff>123825</xdr:rowOff>
    </xdr:to>
    <xdr:graphicFrame macro="">
      <xdr:nvGraphicFramePr>
        <xdr:cNvPr id="28790011" name="Диаграмма 1">
          <a:extLst>
            <a:ext uri="{FF2B5EF4-FFF2-40B4-BE49-F238E27FC236}">
              <a16:creationId xmlns:a16="http://schemas.microsoft.com/office/drawing/2014/main" id="{00000000-0008-0000-0A00-0000FB4C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38</xdr:row>
      <xdr:rowOff>114300</xdr:rowOff>
    </xdr:from>
    <xdr:to>
      <xdr:col>7</xdr:col>
      <xdr:colOff>552450</xdr:colOff>
      <xdr:row>56</xdr:row>
      <xdr:rowOff>0</xdr:rowOff>
    </xdr:to>
    <xdr:graphicFrame macro="">
      <xdr:nvGraphicFramePr>
        <xdr:cNvPr id="28790012" name="Диаграмма 1">
          <a:extLst>
            <a:ext uri="{FF2B5EF4-FFF2-40B4-BE49-F238E27FC236}">
              <a16:creationId xmlns:a16="http://schemas.microsoft.com/office/drawing/2014/main" id="{00000000-0008-0000-0A00-0000FC4C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10</xdr:row>
      <xdr:rowOff>142875</xdr:rowOff>
    </xdr:from>
    <xdr:to>
      <xdr:col>10</xdr:col>
      <xdr:colOff>180975</xdr:colOff>
      <xdr:row>28</xdr:row>
      <xdr:rowOff>95250</xdr:rowOff>
    </xdr:to>
    <xdr:graphicFrame macro="">
      <xdr:nvGraphicFramePr>
        <xdr:cNvPr id="28792935" name="Chart 2">
          <a:extLst>
            <a:ext uri="{FF2B5EF4-FFF2-40B4-BE49-F238E27FC236}">
              <a16:creationId xmlns:a16="http://schemas.microsoft.com/office/drawing/2014/main" id="{00000000-0008-0000-0B00-00006758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20</xdr:row>
      <xdr:rowOff>114300</xdr:rowOff>
    </xdr:from>
    <xdr:to>
      <xdr:col>15</xdr:col>
      <xdr:colOff>175259</xdr:colOff>
      <xdr:row>37</xdr:row>
      <xdr:rowOff>19050</xdr:rowOff>
    </xdr:to>
    <xdr:graphicFrame macro="">
      <xdr:nvGraphicFramePr>
        <xdr:cNvPr id="28794983" name="Chart 1">
          <a:extLst>
            <a:ext uri="{FF2B5EF4-FFF2-40B4-BE49-F238E27FC236}">
              <a16:creationId xmlns:a16="http://schemas.microsoft.com/office/drawing/2014/main" id="{00000000-0008-0000-0C00-00006760B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workbookViewId="0">
      <selection activeCell="B18" sqref="B18"/>
    </sheetView>
  </sheetViews>
  <sheetFormatPr baseColWidth="10" defaultColWidth="8.6640625" defaultRowHeight="13"/>
  <cols>
    <col min="2" max="2" width="14.1640625" customWidth="1"/>
    <col min="3" max="3" width="10.5" customWidth="1"/>
    <col min="4" max="4" width="10.6640625" customWidth="1"/>
    <col min="8" max="8" width="10" bestFit="1" customWidth="1"/>
    <col min="9" max="9" width="10.5" customWidth="1"/>
  </cols>
  <sheetData>
    <row r="1" spans="1:9">
      <c r="A1" s="15"/>
    </row>
    <row r="4" spans="1:9" ht="20">
      <c r="D4" s="421" t="s">
        <v>212</v>
      </c>
      <c r="E4" s="422"/>
      <c r="F4" s="422"/>
      <c r="G4" s="422"/>
      <c r="H4" s="422"/>
    </row>
    <row r="7" spans="1:9" ht="72.75" customHeight="1">
      <c r="C7" s="423" t="s">
        <v>213</v>
      </c>
      <c r="D7" s="424"/>
      <c r="E7" s="424"/>
      <c r="F7" s="424"/>
      <c r="G7" s="424"/>
      <c r="H7" s="424"/>
      <c r="I7" s="424"/>
    </row>
    <row r="11" spans="1:9">
      <c r="B11" s="15"/>
      <c r="C11" s="15"/>
      <c r="D11" s="15"/>
      <c r="E11" s="15"/>
      <c r="F11" s="15"/>
    </row>
    <row r="12" spans="1:9">
      <c r="B12" s="425" t="s">
        <v>214</v>
      </c>
      <c r="C12" s="426"/>
      <c r="D12" s="420"/>
      <c r="E12" s="15"/>
      <c r="F12" s="15"/>
    </row>
    <row r="13" spans="1:9">
      <c r="B13" s="15"/>
      <c r="C13" s="15"/>
      <c r="D13" s="15"/>
      <c r="E13" s="15"/>
      <c r="F13" s="15"/>
    </row>
    <row r="14" spans="1:9">
      <c r="B14" s="225"/>
      <c r="C14" s="417" t="s">
        <v>215</v>
      </c>
      <c r="D14" s="418"/>
      <c r="E14" s="419"/>
      <c r="F14" s="420"/>
    </row>
    <row r="17" spans="2:6">
      <c r="B17" s="225">
        <v>44562</v>
      </c>
      <c r="C17" s="417" t="s">
        <v>216</v>
      </c>
      <c r="D17" s="418"/>
      <c r="E17" s="419"/>
      <c r="F17" s="420"/>
    </row>
    <row r="19" spans="2:6">
      <c r="B19" s="251"/>
    </row>
    <row r="20" spans="2:6">
      <c r="B20" s="272">
        <v>28.1</v>
      </c>
      <c r="C20" s="417" t="s">
        <v>142</v>
      </c>
      <c r="D20" s="418"/>
      <c r="E20" s="419"/>
      <c r="F20" s="420"/>
    </row>
    <row r="21" spans="2:6">
      <c r="B21" s="319">
        <v>32</v>
      </c>
      <c r="C21" s="417" t="s">
        <v>145</v>
      </c>
      <c r="D21" s="418"/>
      <c r="E21" s="419"/>
      <c r="F21" s="420"/>
    </row>
  </sheetData>
  <mergeCells count="7">
    <mergeCell ref="C21:F21"/>
    <mergeCell ref="C20:F20"/>
    <mergeCell ref="D4:H4"/>
    <mergeCell ref="C7:I7"/>
    <mergeCell ref="B12:D12"/>
    <mergeCell ref="C14:F14"/>
    <mergeCell ref="C17:F17"/>
  </mergeCells>
  <pageMargins left="0.7" right="0.7" top="0.75" bottom="0.75" header="0.3" footer="0.3"/>
  <cellWatches>
    <cellWatch r="B30"/>
    <cellWatch r="B31"/>
  </cellWatch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J61"/>
  <sheetViews>
    <sheetView zoomScale="98" zoomScaleNormal="98" workbookViewId="0">
      <pane xSplit="1" topLeftCell="B1" activePane="topRight" state="frozen"/>
      <selection pane="topRight" activeCell="C8" sqref="C8"/>
    </sheetView>
  </sheetViews>
  <sheetFormatPr baseColWidth="10" defaultColWidth="8.6640625" defaultRowHeight="13"/>
  <cols>
    <col min="1" max="1" width="59.6640625" customWidth="1"/>
    <col min="2" max="2" width="19.5" customWidth="1"/>
    <col min="3" max="3" width="12.5" customWidth="1"/>
    <col min="4" max="4" width="13.6640625" customWidth="1"/>
    <col min="5" max="5" width="14.5" customWidth="1"/>
    <col min="6" max="6" width="15" customWidth="1"/>
    <col min="7" max="7" width="14.5" bestFit="1" customWidth="1"/>
    <col min="8" max="8" width="15" customWidth="1"/>
    <col min="9" max="9" width="13.6640625" customWidth="1"/>
    <col min="10" max="10" width="13.5" customWidth="1"/>
    <col min="11" max="11" width="13" customWidth="1"/>
    <col min="12" max="12" width="15" customWidth="1"/>
    <col min="13" max="14" width="12.1640625" customWidth="1"/>
    <col min="15" max="22" width="12.5" bestFit="1" customWidth="1"/>
    <col min="23" max="55" width="13.5" bestFit="1" customWidth="1"/>
    <col min="56" max="62" width="14.5" bestFit="1" customWidth="1"/>
  </cols>
  <sheetData>
    <row r="1" spans="1:62" ht="23">
      <c r="A1" s="44" t="s">
        <v>248</v>
      </c>
      <c r="B1" s="102" t="s">
        <v>143</v>
      </c>
    </row>
    <row r="2" spans="1:62" ht="12.75" customHeight="1"/>
    <row r="3" spans="1:62" ht="9.75" customHeight="1">
      <c r="C3" s="430" t="s">
        <v>30</v>
      </c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1" t="s">
        <v>31</v>
      </c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2" t="s">
        <v>32</v>
      </c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28"/>
      <c r="AN3" s="428"/>
      <c r="AO3" s="428"/>
      <c r="AP3" s="428"/>
      <c r="AQ3" s="428"/>
      <c r="AR3" s="428"/>
      <c r="AS3" s="428"/>
      <c r="AT3" s="428"/>
      <c r="AU3" s="428"/>
      <c r="AV3" s="428"/>
      <c r="AW3" s="428"/>
      <c r="AX3" s="428"/>
      <c r="AY3" s="429"/>
      <c r="AZ3" s="429"/>
      <c r="BA3" s="429"/>
      <c r="BB3" s="429"/>
      <c r="BC3" s="429"/>
      <c r="BD3" s="429"/>
      <c r="BE3" s="429"/>
      <c r="BF3" s="429"/>
      <c r="BG3" s="429"/>
      <c r="BH3" s="429"/>
      <c r="BI3" s="429"/>
      <c r="BJ3" s="429"/>
    </row>
    <row r="4" spans="1:62" s="5" customFormat="1">
      <c r="A4" s="62" t="s">
        <v>249</v>
      </c>
      <c r="B4" s="63" t="str">
        <f>Витрати!B3</f>
        <v>Всього</v>
      </c>
      <c r="C4" s="63">
        <f>Витрати!C3</f>
        <v>44562</v>
      </c>
      <c r="D4" s="63">
        <f>Витрати!D3</f>
        <v>44593</v>
      </c>
      <c r="E4" s="63">
        <f>Витрати!E3</f>
        <v>44621</v>
      </c>
      <c r="F4" s="63">
        <f>Витрати!F3</f>
        <v>44652</v>
      </c>
      <c r="G4" s="63">
        <f>Витрати!G3</f>
        <v>44682</v>
      </c>
      <c r="H4" s="63">
        <f>Витрати!H3</f>
        <v>44713</v>
      </c>
      <c r="I4" s="63">
        <f>Витрати!I3</f>
        <v>44743</v>
      </c>
      <c r="J4" s="63">
        <f>Витрати!J3</f>
        <v>44774</v>
      </c>
      <c r="K4" s="63">
        <f>Витрати!K3</f>
        <v>44805</v>
      </c>
      <c r="L4" s="63">
        <f>Витрати!L3</f>
        <v>44835</v>
      </c>
      <c r="M4" s="63">
        <f>Витрати!M3</f>
        <v>44866</v>
      </c>
      <c r="N4" s="63">
        <f>Витрати!N3</f>
        <v>44896</v>
      </c>
      <c r="O4" s="63">
        <f>Витрати!O3</f>
        <v>44927</v>
      </c>
      <c r="P4" s="63">
        <f>Витрати!P3</f>
        <v>44958</v>
      </c>
      <c r="Q4" s="63">
        <f>Витрати!Q3</f>
        <v>44986</v>
      </c>
      <c r="R4" s="63">
        <f>Витрати!R3</f>
        <v>45017</v>
      </c>
      <c r="S4" s="63">
        <f>Витрати!S3</f>
        <v>45047</v>
      </c>
      <c r="T4" s="63">
        <f>Витрати!T3</f>
        <v>45078</v>
      </c>
      <c r="U4" s="63">
        <f>Витрати!U3</f>
        <v>45108</v>
      </c>
      <c r="V4" s="63">
        <f>Витрати!V3</f>
        <v>45139</v>
      </c>
      <c r="W4" s="63">
        <f>Витрати!W3</f>
        <v>45170</v>
      </c>
      <c r="X4" s="63">
        <f>Витрати!X3</f>
        <v>45200</v>
      </c>
      <c r="Y4" s="63">
        <f>Витрати!Y3</f>
        <v>45231</v>
      </c>
      <c r="Z4" s="63">
        <f>Витрати!Z3</f>
        <v>45261</v>
      </c>
      <c r="AA4" s="63">
        <f>Витрати!AA3</f>
        <v>45292</v>
      </c>
      <c r="AB4" s="63">
        <f>Витрати!AB3</f>
        <v>45323</v>
      </c>
      <c r="AC4" s="63">
        <f>Витрати!AC3</f>
        <v>45352</v>
      </c>
      <c r="AD4" s="63">
        <f>Витрати!AD3</f>
        <v>45383</v>
      </c>
      <c r="AE4" s="63">
        <f>Витрати!AE3</f>
        <v>45413</v>
      </c>
      <c r="AF4" s="63">
        <f>Витрати!AF3</f>
        <v>45444</v>
      </c>
      <c r="AG4" s="63">
        <f>Витрати!AG3</f>
        <v>45474</v>
      </c>
      <c r="AH4" s="63">
        <f>Витрати!AH3</f>
        <v>45505</v>
      </c>
      <c r="AI4" s="63">
        <f>Витрати!AI3</f>
        <v>45536</v>
      </c>
      <c r="AJ4" s="63">
        <f>Витрати!AJ3</f>
        <v>45566</v>
      </c>
      <c r="AK4" s="63">
        <f>Витрати!AK3</f>
        <v>45597</v>
      </c>
      <c r="AL4" s="63">
        <f>Витрати!AL3</f>
        <v>45627</v>
      </c>
      <c r="AM4" s="63">
        <f>Витрати!AM3</f>
        <v>45658</v>
      </c>
      <c r="AN4" s="63">
        <f>Витрати!AN3</f>
        <v>45689</v>
      </c>
      <c r="AO4" s="63">
        <f>Витрати!AO3</f>
        <v>45717</v>
      </c>
      <c r="AP4" s="63">
        <f>Витрати!AP3</f>
        <v>45748</v>
      </c>
      <c r="AQ4" s="63">
        <f>Витрати!AQ3</f>
        <v>45778</v>
      </c>
      <c r="AR4" s="63">
        <f>Витрати!AR3</f>
        <v>45809</v>
      </c>
      <c r="AS4" s="63">
        <f>Витрати!AS3</f>
        <v>45839</v>
      </c>
      <c r="AT4" s="63">
        <f>Витрати!AT3</f>
        <v>45870</v>
      </c>
      <c r="AU4" s="63">
        <f>Витрати!AU3</f>
        <v>45901</v>
      </c>
      <c r="AV4" s="63">
        <f>Витрати!AV3</f>
        <v>45931</v>
      </c>
      <c r="AW4" s="63">
        <f>Витрати!AW3</f>
        <v>45962</v>
      </c>
      <c r="AX4" s="63">
        <f>Витрати!AX3</f>
        <v>45992</v>
      </c>
      <c r="AY4" s="63">
        <f>Витрати!AY3</f>
        <v>46023</v>
      </c>
      <c r="AZ4" s="63">
        <f>Витрати!AZ3</f>
        <v>46054</v>
      </c>
      <c r="BA4" s="63">
        <f>Витрати!BA3</f>
        <v>46082</v>
      </c>
      <c r="BB4" s="63">
        <f>Витрати!BB3</f>
        <v>46113</v>
      </c>
      <c r="BC4" s="63">
        <f>Витрати!BC3</f>
        <v>46143</v>
      </c>
      <c r="BD4" s="63">
        <f>Витрати!BD3</f>
        <v>46174</v>
      </c>
      <c r="BE4" s="63">
        <f>Витрати!BE3</f>
        <v>46204</v>
      </c>
      <c r="BF4" s="63">
        <f>Витрати!BF3</f>
        <v>46235</v>
      </c>
      <c r="BG4" s="63">
        <f>Витрати!BG3</f>
        <v>46266</v>
      </c>
      <c r="BH4" s="63">
        <f>Витрати!BH3</f>
        <v>46296</v>
      </c>
      <c r="BI4" s="63">
        <f>Витрати!BI3</f>
        <v>46327</v>
      </c>
      <c r="BJ4" s="63">
        <f>Витрати!BJ3</f>
        <v>46357</v>
      </c>
    </row>
    <row r="5" spans="1:62" s="6" customFormat="1" ht="12">
      <c r="A5" s="19" t="s">
        <v>163</v>
      </c>
      <c r="B5" s="104">
        <f t="shared" ref="B5:B10" si="0">SUM(C5:BJ5)</f>
        <v>54280668.302217595</v>
      </c>
      <c r="C5" s="100">
        <f>Доходи!C17</f>
        <v>1540558.22</v>
      </c>
      <c r="D5" s="100">
        <f>Доходи!D17</f>
        <v>1158307.2116624999</v>
      </c>
      <c r="E5" s="100">
        <f>Доходи!E17</f>
        <v>774135.31979443762</v>
      </c>
      <c r="F5" s="100">
        <f>Доходи!F17</f>
        <v>620856.52647513885</v>
      </c>
      <c r="G5" s="100">
        <f>Доходи!G17</f>
        <v>778010.83473915816</v>
      </c>
      <c r="H5" s="100">
        <f>Доходи!H17</f>
        <v>779955.86182600609</v>
      </c>
      <c r="I5" s="100">
        <f>Доходи!I17</f>
        <v>781905.75148057123</v>
      </c>
      <c r="J5" s="100">
        <f>Доходи!J17</f>
        <v>783860.51585927256</v>
      </c>
      <c r="K5" s="100">
        <f>Доходи!K17</f>
        <v>628656.13371913671</v>
      </c>
      <c r="L5" s="100">
        <f>Доходи!L17</f>
        <v>787784.71756679309</v>
      </c>
      <c r="M5" s="100">
        <f>Доходи!M17</f>
        <v>789754.17936070997</v>
      </c>
      <c r="N5" s="100">
        <f>Доходи!N17</f>
        <v>791728.56480911165</v>
      </c>
      <c r="O5" s="100">
        <f>Доходи!O17</f>
        <v>1587415.7724422689</v>
      </c>
      <c r="P5" s="100">
        <f>Доходи!P17</f>
        <v>1193538.2339050306</v>
      </c>
      <c r="Q5" s="100">
        <f>Доходи!Q17</f>
        <v>797681.38632652874</v>
      </c>
      <c r="R5" s="100">
        <f>Доходи!R17</f>
        <v>639740.4718338761</v>
      </c>
      <c r="S5" s="100">
        <f>Доходи!S17</f>
        <v>801674.77876682591</v>
      </c>
      <c r="T5" s="100">
        <f>Доходи!T17</f>
        <v>803678.96571374277</v>
      </c>
      <c r="U5" s="100">
        <f>Доходи!U17</f>
        <v>805688.16312802711</v>
      </c>
      <c r="V5" s="100">
        <f>Доходи!V17</f>
        <v>807702.38353584707</v>
      </c>
      <c r="W5" s="100">
        <f>Доходи!W17</f>
        <v>647777.31159574946</v>
      </c>
      <c r="X5" s="100">
        <f>Доходи!X17</f>
        <v>811745.94359342335</v>
      </c>
      <c r="Y5" s="100">
        <f>Доходи!Y17</f>
        <v>813775.30845240678</v>
      </c>
      <c r="Z5" s="100">
        <f>Доходи!Z17</f>
        <v>815809.7467235378</v>
      </c>
      <c r="AA5" s="100">
        <f>Доходи!AA17</f>
        <v>1635698.5421806935</v>
      </c>
      <c r="AB5" s="100">
        <f>Доходи!AB17</f>
        <v>1229840.841402109</v>
      </c>
      <c r="AC5" s="100">
        <f>Доходи!AC17</f>
        <v>821943.62900374248</v>
      </c>
      <c r="AD5" s="100">
        <f>Доходи!AD17</f>
        <v>659198.79046100168</v>
      </c>
      <c r="AE5" s="100">
        <f>Доходи!AE17</f>
        <v>826058.48429644248</v>
      </c>
      <c r="AF5" s="100">
        <f>Доходи!AF17</f>
        <v>828123.63050718384</v>
      </c>
      <c r="AG5" s="100">
        <f>Доходи!AG17</f>
        <v>830193.93958345184</v>
      </c>
      <c r="AH5" s="100">
        <f>Доходи!AH17</f>
        <v>832269.42443241039</v>
      </c>
      <c r="AI5" s="100">
        <f>Доходи!AI17</f>
        <v>667480.07839479309</v>
      </c>
      <c r="AJ5" s="100">
        <f>Доходи!AJ17</f>
        <v>836435.97323847504</v>
      </c>
      <c r="AK5" s="100">
        <f>Доходи!AK17</f>
        <v>838527.06317157112</v>
      </c>
      <c r="AL5" s="100">
        <f>Доходи!AL17</f>
        <v>840623.38082950003</v>
      </c>
      <c r="AM5" s="100">
        <f>Доходи!AM17</f>
        <v>1685449.8785631475</v>
      </c>
      <c r="AN5" s="100">
        <f>Доходи!AN17</f>
        <v>1267247.6274446663</v>
      </c>
      <c r="AO5" s="100">
        <f>Доходи!AO17</f>
        <v>846943.83100885176</v>
      </c>
      <c r="AP5" s="100">
        <f>Доходи!AP17</f>
        <v>679248.9524690992</v>
      </c>
      <c r="AQ5" s="100">
        <f>Доходи!AQ17</f>
        <v>851183.84356283979</v>
      </c>
      <c r="AR5" s="100">
        <f>Доходи!AR17</f>
        <v>853311.80317174678</v>
      </c>
      <c r="AS5" s="100">
        <f>Доходи!AS17</f>
        <v>855445.08267967624</v>
      </c>
      <c r="AT5" s="100">
        <f>Доходи!AT17</f>
        <v>857583.6953863753</v>
      </c>
      <c r="AU5" s="100">
        <f>Доходи!AU17</f>
        <v>687782.12369987287</v>
      </c>
      <c r="AV5" s="100">
        <f>Доходи!AV17</f>
        <v>861876.97376140323</v>
      </c>
      <c r="AW5" s="100">
        <f>Доходи!AW17</f>
        <v>864031.66619580658</v>
      </c>
      <c r="AX5" s="100">
        <f>Доходи!AX17</f>
        <v>866191.74536129611</v>
      </c>
      <c r="AY5" s="100">
        <f>Доходи!AY17</f>
        <v>1736714.4494493986</v>
      </c>
      <c r="AZ5" s="100">
        <f>Доходи!AZ17</f>
        <v>1305792.1766797663</v>
      </c>
      <c r="BA5" s="100">
        <f>Доходи!BA17</f>
        <v>872704.43808097718</v>
      </c>
      <c r="BB5" s="100">
        <f>Доходи!BB17</f>
        <v>699908.95934094372</v>
      </c>
      <c r="BC5" s="100">
        <f>Доходи!BC17</f>
        <v>877073.41467411991</v>
      </c>
      <c r="BD5" s="100">
        <f>Доходи!BD17</f>
        <v>879266.09821080521</v>
      </c>
      <c r="BE5" s="100">
        <f>Доходи!BE17</f>
        <v>881464.2634563325</v>
      </c>
      <c r="BF5" s="100">
        <f>Доходи!BF17</f>
        <v>883667.92411497317</v>
      </c>
      <c r="BG5" s="100">
        <f>Доходи!BG17</f>
        <v>708701.67514020833</v>
      </c>
      <c r="BH5" s="100">
        <f>Доходи!BH17</f>
        <v>888091.78666007356</v>
      </c>
      <c r="BI5" s="100">
        <f>Доходи!BI17</f>
        <v>890312.01612672373</v>
      </c>
      <c r="BJ5" s="100">
        <f>Доходи!BJ17</f>
        <v>892537.79616704048</v>
      </c>
    </row>
    <row r="6" spans="1:62" s="6" customFormat="1" ht="12">
      <c r="A6" s="19" t="s">
        <v>164</v>
      </c>
      <c r="B6" s="104">
        <f t="shared" si="0"/>
        <v>51901760.984946817</v>
      </c>
      <c r="C6" s="100">
        <f>Витрати!C27</f>
        <v>1257366.29</v>
      </c>
      <c r="D6" s="100">
        <f>Витрати!D27</f>
        <v>1013818.3327624999</v>
      </c>
      <c r="E6" s="100">
        <f>Витрати!E27</f>
        <v>770554.03881293756</v>
      </c>
      <c r="F6" s="100">
        <f>Витрати!F27</f>
        <v>673495.2528279759</v>
      </c>
      <c r="G6" s="100">
        <f>Витрати!G27</f>
        <v>773008.08198130724</v>
      </c>
      <c r="H6" s="100">
        <f>Витрати!H27</f>
        <v>774239.70681126055</v>
      </c>
      <c r="I6" s="100">
        <f>Витрати!I27</f>
        <v>775474.41070328874</v>
      </c>
      <c r="J6" s="100">
        <f>Витрати!J27</f>
        <v>776712.20135504683</v>
      </c>
      <c r="K6" s="100">
        <f>Витрати!K27</f>
        <v>678434.09918674757</v>
      </c>
      <c r="L6" s="100">
        <f>Витрати!L27</f>
        <v>779197.07382464292</v>
      </c>
      <c r="M6" s="100">
        <f>Витрати!M27</f>
        <v>780444.17113420437</v>
      </c>
      <c r="N6" s="100">
        <f>Витрати!N27</f>
        <v>781694.38618704001</v>
      </c>
      <c r="O6" s="100">
        <f>Витрати!O27</f>
        <v>1287181.6035550151</v>
      </c>
      <c r="P6" s="100">
        <f>Витрати!P27</f>
        <v>1037771.5260791769</v>
      </c>
      <c r="Q6" s="100">
        <f>Витрати!Q27</f>
        <v>787108.11584624986</v>
      </c>
      <c r="R6" s="100">
        <f>Витрати!R27</f>
        <v>687097.1940086924</v>
      </c>
      <c r="S6" s="100">
        <f>Витрати!S27</f>
        <v>789636.8010858926</v>
      </c>
      <c r="T6" s="100">
        <f>Витрати!T27</f>
        <v>790905.88696360728</v>
      </c>
      <c r="U6" s="100">
        <f>Витрати!U27</f>
        <v>792178.14555601624</v>
      </c>
      <c r="V6" s="100">
        <f>Витрати!V27</f>
        <v>793453.58479490632</v>
      </c>
      <c r="W6" s="100">
        <f>Витрати!W27</f>
        <v>692186.2601055149</v>
      </c>
      <c r="X6" s="100">
        <f>Витрати!X27</f>
        <v>796014.03703847318</v>
      </c>
      <c r="Y6" s="100">
        <f>Витрати!Y27</f>
        <v>797299.0660060693</v>
      </c>
      <c r="Z6" s="100">
        <f>Витрати!Z27</f>
        <v>798587.30754608451</v>
      </c>
      <c r="AA6" s="100">
        <f>Витрати!AA27</f>
        <v>1326497.7253798994</v>
      </c>
      <c r="AB6" s="100">
        <f>Витрати!AB27</f>
        <v>1069501.6017337618</v>
      </c>
      <c r="AC6" s="100">
        <f>Витрати!AC27</f>
        <v>811214.02401539753</v>
      </c>
      <c r="AD6" s="100">
        <f>Витрати!AD27</f>
        <v>708161.17428834888</v>
      </c>
      <c r="AE6" s="100">
        <f>Витрати!AE27</f>
        <v>813819.62163633713</v>
      </c>
      <c r="AF6" s="100">
        <f>Витрати!AF27</f>
        <v>815127.30797542783</v>
      </c>
      <c r="AG6" s="100">
        <f>Витрати!AG27</f>
        <v>816438.26353036647</v>
      </c>
      <c r="AH6" s="100">
        <f>Витрати!AH27</f>
        <v>817752.49647419248</v>
      </c>
      <c r="AI6" s="100">
        <f>Витрати!AI27</f>
        <v>713405.0292003022</v>
      </c>
      <c r="AJ6" s="100">
        <f>Витрати!AJ27</f>
        <v>820390.82732287887</v>
      </c>
      <c r="AK6" s="100">
        <f>Витрати!AK27</f>
        <v>821714.94167618593</v>
      </c>
      <c r="AL6" s="100">
        <f>Витрати!AL27</f>
        <v>823042.36631537636</v>
      </c>
      <c r="AM6" s="100">
        <f>Витрати!AM27</f>
        <v>1366588.6458123294</v>
      </c>
      <c r="AN6" s="100">
        <f>Витрати!AN27</f>
        <v>1101775.7391424326</v>
      </c>
      <c r="AO6" s="100">
        <f>Витрати!AO27</f>
        <v>835632.09758889244</v>
      </c>
      <c r="AP6" s="100">
        <f>Витрати!AP27</f>
        <v>729444.79682473163</v>
      </c>
      <c r="AQ6" s="100">
        <f>Витрати!AQ27</f>
        <v>838316.94695480436</v>
      </c>
      <c r="AR6" s="100">
        <f>Витрати!AR27</f>
        <v>839664.40782524133</v>
      </c>
      <c r="AS6" s="100">
        <f>Витрати!AS27</f>
        <v>841015.23734785442</v>
      </c>
      <c r="AT6" s="100">
        <f>Витрати!AT27</f>
        <v>842369.44394427398</v>
      </c>
      <c r="AU6" s="100">
        <f>Витрати!AU27</f>
        <v>734848.14860174758</v>
      </c>
      <c r="AV6" s="100">
        <f>Витрати!AV27</f>
        <v>845088.02215037763</v>
      </c>
      <c r="AW6" s="100">
        <f>Витрати!AW27</f>
        <v>846452.41070880345</v>
      </c>
      <c r="AX6" s="100">
        <f>Витрати!AX27</f>
        <v>847820.21023862541</v>
      </c>
      <c r="AY6" s="100">
        <f>Витрати!AY27</f>
        <v>1408012.8707419438</v>
      </c>
      <c r="AZ6" s="100">
        <f>Витрати!AZ27</f>
        <v>1135145.4261126351</v>
      </c>
      <c r="BA6" s="100">
        <f>Витрати!BA27</f>
        <v>860906.77102479886</v>
      </c>
      <c r="BB6" s="100">
        <f>Витрати!BB27</f>
        <v>751489.6818958337</v>
      </c>
      <c r="BC6" s="100">
        <f>Витрати!BC27</f>
        <v>863673.28265334351</v>
      </c>
      <c r="BD6" s="100">
        <f>Витрати!BD27</f>
        <v>865061.72783555847</v>
      </c>
      <c r="BE6" s="100">
        <f>Витрати!BE27</f>
        <v>866453.64413072879</v>
      </c>
      <c r="BF6" s="100">
        <f>Витрати!BF27</f>
        <v>867849.04021663719</v>
      </c>
      <c r="BG6" s="100">
        <f>Витрати!BG27</f>
        <v>757057.38178768824</v>
      </c>
      <c r="BH6" s="100">
        <f>Витрати!BH27</f>
        <v>870650.30658032361</v>
      </c>
      <c r="BI6" s="100">
        <f>Витрати!BI27</f>
        <v>872056.19432235591</v>
      </c>
      <c r="BJ6" s="100">
        <f>Витрати!BJ27</f>
        <v>873465.59678374324</v>
      </c>
    </row>
    <row r="7" spans="1:62" s="6" customFormat="1" ht="12">
      <c r="A7" s="19" t="s">
        <v>165</v>
      </c>
      <c r="B7" s="104">
        <f t="shared" si="0"/>
        <v>407651.285563824</v>
      </c>
      <c r="C7" s="100">
        <f>'Розрахунок податків'!C5+'Розрахунок податків'!C6</f>
        <v>49053.875399999983</v>
      </c>
      <c r="D7" s="100">
        <f>'Розрахунок податків'!D5+'Розрахунок податків'!D6</f>
        <v>22432.118202000001</v>
      </c>
      <c r="E7" s="100">
        <f>'Розрахунок податків'!E5+'Розрахунок податків'!E6</f>
        <v>0</v>
      </c>
      <c r="F7" s="100">
        <f>'Розрахунок податків'!F5+'Розрахунок податків'!F6</f>
        <v>0</v>
      </c>
      <c r="G7" s="100">
        <f>'Розрахунок податків'!G5+'Розрахунок податків'!G6</f>
        <v>0</v>
      </c>
      <c r="H7" s="100">
        <f>'Розрахунок податків'!H5+'Розрахунок податків'!H6</f>
        <v>0</v>
      </c>
      <c r="I7" s="100">
        <f>'Розрахунок податків'!I5+'Розрахунок податків'!I6</f>
        <v>0</v>
      </c>
      <c r="J7" s="100">
        <f>'Розрахунок податків'!J5+'Розрахунок податків'!J6</f>
        <v>0</v>
      </c>
      <c r="K7" s="100">
        <f>'Розрахунок податків'!K5+'Розрахунок податків'!K6</f>
        <v>0</v>
      </c>
      <c r="L7" s="100">
        <f>'Розрахунок податків'!L5+'Розрахунок податків'!L6</f>
        <v>0</v>
      </c>
      <c r="M7" s="100">
        <f>'Розрахунок податків'!M5+'Розрахунок податків'!M6</f>
        <v>0</v>
      </c>
      <c r="N7" s="100">
        <f>'Розрахунок податків'!N5+'Розрахунок податків'!N6</f>
        <v>0</v>
      </c>
      <c r="O7" s="100">
        <f>'Розрахунок податків'!O5+'Розрахунок податків'!O6</f>
        <v>50818.386399705691</v>
      </c>
      <c r="P7" s="100">
        <f>'Розрахунок податків'!P5+'Розрахунок податків'!P6</f>
        <v>24846.247408653668</v>
      </c>
      <c r="Q7" s="100">
        <f>'Розрахунок податків'!Q5+'Розрахунок податків'!Q6</f>
        <v>0</v>
      </c>
      <c r="R7" s="100">
        <f>'Розрахунок податків'!R5+'Розрахунок податків'!R6</f>
        <v>0</v>
      </c>
      <c r="S7" s="100">
        <f>'Розрахунок податків'!S5+'Розрахунок податків'!S6</f>
        <v>0</v>
      </c>
      <c r="T7" s="100">
        <f>'Розрахунок податків'!T5+'Розрахунок податків'!T6</f>
        <v>0</v>
      </c>
      <c r="U7" s="100">
        <f>'Розрахунок податків'!U5+'Розрахунок податків'!U6</f>
        <v>0</v>
      </c>
      <c r="V7" s="100">
        <f>'Розрахунок податків'!V5+'Розрахунок податків'!V6</f>
        <v>0</v>
      </c>
      <c r="W7" s="100">
        <f>'Розрахунок податків'!W5+'Розрахунок податків'!W6</f>
        <v>0</v>
      </c>
      <c r="X7" s="100">
        <f>'Розрахунок податків'!X5+'Розрахунок податків'!X6</f>
        <v>0</v>
      </c>
      <c r="Y7" s="100">
        <f>'Розрахунок податків'!Y5+'Розрахунок податків'!Y6</f>
        <v>62.071640340745979</v>
      </c>
      <c r="Z7" s="100">
        <f>'Розрахунок податків'!Z5+'Розрахунок податків'!Z6</f>
        <v>228.39105194159123</v>
      </c>
      <c r="AA7" s="100">
        <f>'Розрахунок податків'!AA5+'Розрахунок податків'!AA6</f>
        <v>52816.52102414293</v>
      </c>
      <c r="AB7" s="100">
        <f>'Розрахунок податків'!AB5+'Розрахунок податків'!AB6</f>
        <v>26053.44114030249</v>
      </c>
      <c r="AC7" s="100">
        <f>'Розрахунок податків'!AC5+'Розрахунок податків'!AC6</f>
        <v>0</v>
      </c>
      <c r="AD7" s="100">
        <f>'Розрахунок податків'!AD5+'Розрахунок податків'!AD6</f>
        <v>0</v>
      </c>
      <c r="AE7" s="100">
        <f>'Розрахунок податків'!AE5+'Розрахунок податків'!AE6</f>
        <v>0</v>
      </c>
      <c r="AF7" s="100">
        <f>'Розрахунок податків'!AF5+'Розрахунок податків'!AF6</f>
        <v>0</v>
      </c>
      <c r="AG7" s="100">
        <f>'Розрахунок податків'!AG5+'Розрахунок податків'!AG6</f>
        <v>0</v>
      </c>
      <c r="AH7" s="100">
        <f>'Розрахунок податків'!AH5+'Розрахунок податків'!AH6</f>
        <v>0</v>
      </c>
      <c r="AI7" s="100">
        <f>'Розрахунок податків'!AI5+'Розрахунок податків'!AI6</f>
        <v>0</v>
      </c>
      <c r="AJ7" s="100">
        <f>'Розрахунок податків'!AJ5+'Розрахунок податків'!AJ6</f>
        <v>336.5902648073095</v>
      </c>
      <c r="AK7" s="100">
        <f>'Розрахунок податків'!AK5+'Розрахунок податків'!AK6</f>
        <v>506.64986916933401</v>
      </c>
      <c r="AL7" s="100">
        <f>'Розрахунок податків'!AL5+'Розрахунок податків'!AL6</f>
        <v>677.07261254226091</v>
      </c>
      <c r="AM7" s="100">
        <f>'Розрахунок податків'!AM5+'Розрахунок податків'!AM6</f>
        <v>54939.515895147262</v>
      </c>
      <c r="AN7" s="100">
        <f>'Розрахунок податків'!AN5+'Розрахунок податків'!AN6</f>
        <v>27361.455894402079</v>
      </c>
      <c r="AO7" s="100">
        <f>'Розрахунок податків'!AO5+'Розрахунок податків'!AO6</f>
        <v>0</v>
      </c>
      <c r="AP7" s="100">
        <f>'Розрахунок податків'!AP5+'Розрахунок податків'!AP6</f>
        <v>0</v>
      </c>
      <c r="AQ7" s="100">
        <f>'Розрахунок податків'!AQ5+'Розрахунок податків'!AQ6</f>
        <v>0</v>
      </c>
      <c r="AR7" s="100">
        <f>'Розрахунок податків'!AR5+'Розрахунок податків'!AR6</f>
        <v>161.08116237098119</v>
      </c>
      <c r="AS7" s="100">
        <f>'Розрахунок податків'!AS5+'Розрахунок податків'!AS6</f>
        <v>333.94415972792825</v>
      </c>
      <c r="AT7" s="100">
        <f>'Розрахунок податків'!AT5+'Розрахунок податків'!AT6</f>
        <v>507.14125957823728</v>
      </c>
      <c r="AU7" s="100">
        <f>'Розрахунок податків'!AU5+'Розрахунок податків'!AU6</f>
        <v>0</v>
      </c>
      <c r="AV7" s="100">
        <f>'Розрахунок податків'!AV5+'Розрахунок податків'!AV6</f>
        <v>854.61328998460942</v>
      </c>
      <c r="AW7" s="100">
        <f>'Розрахунок податків'!AW5+'Розрахунок податків'!AW6</f>
        <v>1028.8719876605635</v>
      </c>
      <c r="AX7" s="100">
        <f>'Розрахунок податків'!AX5+'Розрахунок податків'!AX6</f>
        <v>1203.4863220807258</v>
      </c>
      <c r="AY7" s="100">
        <f>'Розрахунок податків'!AY5+'Розрахунок податків'!AY6</f>
        <v>57094.916167341849</v>
      </c>
      <c r="AZ7" s="100">
        <f>'Розрахунок податків'!AZ5+'Розрахунок податків'!AZ6</f>
        <v>28677.05110208362</v>
      </c>
      <c r="BA7" s="100">
        <f>'Розрахунок податків'!BA5+'Розрахунок податків'!BA6</f>
        <v>116.23807011209846</v>
      </c>
      <c r="BB7" s="100">
        <f>'Розрахунок податків'!BB5+'Розрахунок податків'!BB6</f>
        <v>0</v>
      </c>
      <c r="BC7" s="100">
        <f>'Розрахунок податків'!BC5+'Розрахунок податків'!BC6</f>
        <v>468.68976373975067</v>
      </c>
      <c r="BD7" s="100">
        <f>'Розрахунок податків'!BD5+'Розрахунок податків'!BD6</f>
        <v>645.47466754441336</v>
      </c>
      <c r="BE7" s="100">
        <f>'Розрахунок податків'!BE5+'Розрахунок податків'!BE6</f>
        <v>822.60347860866727</v>
      </c>
      <c r="BF7" s="100">
        <f>'Розрахунок податків'!BF5+'Розрахунок податків'!BF6</f>
        <v>1000.1131017004755</v>
      </c>
      <c r="BG7" s="100">
        <f>'Розрахунок податків'!BG5+'Розрахунок податків'!BG6</f>
        <v>0</v>
      </c>
      <c r="BH7" s="100">
        <f>'Розрахунок податків'!BH5+'Розрахунок податків'!BH6</f>
        <v>1356.1884143549905</v>
      </c>
      <c r="BI7" s="100">
        <f>'Розрахунок податків'!BI5+'Розрахунок податків'!BI6</f>
        <v>1534.7919247862076</v>
      </c>
      <c r="BJ7" s="100">
        <f>'Розрахунок податків'!BJ5+'Розрахунок податків'!BJ6</f>
        <v>1713.7438889935027</v>
      </c>
    </row>
    <row r="8" spans="1:62" s="6" customFormat="1" ht="12">
      <c r="A8" s="19" t="s">
        <v>125</v>
      </c>
      <c r="B8" s="104">
        <f t="shared" si="0"/>
        <v>325447.59999999998</v>
      </c>
      <c r="C8" s="100">
        <f>ОДДС!C28</f>
        <v>10670.4</v>
      </c>
      <c r="D8" s="100">
        <f>ОДДС!D28</f>
        <v>10492.5</v>
      </c>
      <c r="E8" s="100">
        <f>ОДДС!E28</f>
        <v>10314.700000000001</v>
      </c>
      <c r="F8" s="100">
        <f>ОДДС!F28</f>
        <v>10136.799999999999</v>
      </c>
      <c r="G8" s="100">
        <f>ОДДС!G28</f>
        <v>9959</v>
      </c>
      <c r="H8" s="100">
        <f>ОДДС!H28</f>
        <v>9781.2000000000007</v>
      </c>
      <c r="I8" s="100">
        <f>ОДДС!I28</f>
        <v>9603.2999999999993</v>
      </c>
      <c r="J8" s="100">
        <f>ОДДС!J28</f>
        <v>9425.5</v>
      </c>
      <c r="K8" s="100">
        <f>ОДДС!K28</f>
        <v>9247.7000000000007</v>
      </c>
      <c r="L8" s="100">
        <f>ОДДС!L28</f>
        <v>9069.7999999999993</v>
      </c>
      <c r="M8" s="100">
        <f>ОДДС!M28</f>
        <v>8892</v>
      </c>
      <c r="N8" s="100">
        <f>ОДДС!N28</f>
        <v>8714.1</v>
      </c>
      <c r="O8" s="100">
        <f>ОДДС!O28</f>
        <v>8536.2999999999993</v>
      </c>
      <c r="P8" s="100">
        <f>ОДДС!P28</f>
        <v>8358.5</v>
      </c>
      <c r="Q8" s="100">
        <f>ОДДС!Q28</f>
        <v>8180.6</v>
      </c>
      <c r="R8" s="100">
        <f>ОДДС!R28</f>
        <v>8002.8</v>
      </c>
      <c r="S8" s="100">
        <f>ОДДС!S28</f>
        <v>7824.9</v>
      </c>
      <c r="T8" s="100">
        <f>ОДДС!T28</f>
        <v>7647.1</v>
      </c>
      <c r="U8" s="100">
        <f>ОДДС!U28</f>
        <v>7469.3</v>
      </c>
      <c r="V8" s="100">
        <f>ОДДС!V28</f>
        <v>7291.4</v>
      </c>
      <c r="W8" s="100">
        <f>ОДДС!W28</f>
        <v>7113.6</v>
      </c>
      <c r="X8" s="100">
        <f>ОДДС!X28</f>
        <v>6935.8</v>
      </c>
      <c r="Y8" s="100">
        <f>ОДДС!Y28</f>
        <v>6757.9</v>
      </c>
      <c r="Z8" s="100">
        <f>ОДДС!Z28</f>
        <v>6580.1</v>
      </c>
      <c r="AA8" s="100">
        <f>ОДДС!AA28</f>
        <v>6402.2</v>
      </c>
      <c r="AB8" s="100">
        <f>ОДДС!AB28</f>
        <v>6224.4</v>
      </c>
      <c r="AC8" s="100">
        <f>ОДДС!AC28</f>
        <v>6046.6</v>
      </c>
      <c r="AD8" s="100">
        <f>ОДДС!AD28</f>
        <v>5868.7</v>
      </c>
      <c r="AE8" s="100">
        <f>ОДДС!AE28</f>
        <v>5690.9</v>
      </c>
      <c r="AF8" s="100">
        <f>ОДДС!AF28</f>
        <v>5513</v>
      </c>
      <c r="AG8" s="100">
        <f>ОДДС!AG28</f>
        <v>5335.2</v>
      </c>
      <c r="AH8" s="100">
        <f>ОДДС!AH28</f>
        <v>5157.3999999999996</v>
      </c>
      <c r="AI8" s="100">
        <f>ОДДС!AI28</f>
        <v>4979.5</v>
      </c>
      <c r="AJ8" s="100">
        <f>ОДДС!AJ28</f>
        <v>4801.7</v>
      </c>
      <c r="AK8" s="100">
        <f>ОДДС!AK28</f>
        <v>4623.8999999999996</v>
      </c>
      <c r="AL8" s="100">
        <f>ОДДС!AL28</f>
        <v>4446</v>
      </c>
      <c r="AM8" s="100">
        <f>ОДДС!AM28</f>
        <v>4268.2</v>
      </c>
      <c r="AN8" s="100">
        <f>ОДДС!AN28</f>
        <v>4090.3</v>
      </c>
      <c r="AO8" s="100">
        <f>ОДДС!AO28</f>
        <v>3912.5</v>
      </c>
      <c r="AP8" s="100">
        <f>ОДДС!AP28</f>
        <v>3734.7</v>
      </c>
      <c r="AQ8" s="100">
        <f>ОДДС!AQ28</f>
        <v>3556.8</v>
      </c>
      <c r="AR8" s="100">
        <f>ОДДС!AR28</f>
        <v>3379</v>
      </c>
      <c r="AS8" s="100">
        <f>ОДДС!AS28</f>
        <v>3201.1</v>
      </c>
      <c r="AT8" s="100">
        <f>ОДДС!AT28</f>
        <v>3023.3</v>
      </c>
      <c r="AU8" s="100">
        <f>ОДДС!AU28</f>
        <v>2845.5</v>
      </c>
      <c r="AV8" s="100">
        <f>ОДДС!AV28</f>
        <v>2667.6</v>
      </c>
      <c r="AW8" s="100">
        <f>ОДДС!AW28</f>
        <v>2489.8000000000002</v>
      </c>
      <c r="AX8" s="100">
        <f>ОДДС!AX28</f>
        <v>2312</v>
      </c>
      <c r="AY8" s="100">
        <f>ОДДС!AY28</f>
        <v>2134.1</v>
      </c>
      <c r="AZ8" s="100">
        <f>ОДДС!AZ28</f>
        <v>1956.3</v>
      </c>
      <c r="BA8" s="100">
        <f>ОДДС!BA28</f>
        <v>1778.4</v>
      </c>
      <c r="BB8" s="100">
        <f>ОДДС!BB28</f>
        <v>1600.6</v>
      </c>
      <c r="BC8" s="100">
        <f>ОДДС!BC28</f>
        <v>1422.8</v>
      </c>
      <c r="BD8" s="100">
        <f>ОДДС!BD28</f>
        <v>1244.9000000000001</v>
      </c>
      <c r="BE8" s="100">
        <f>ОДДС!BE28</f>
        <v>1067.0999999999999</v>
      </c>
      <c r="BF8" s="100">
        <f>ОДДС!BF28</f>
        <v>889.2</v>
      </c>
      <c r="BG8" s="100">
        <f>ОДДС!BG28</f>
        <v>711.4</v>
      </c>
      <c r="BH8" s="100">
        <f>ОДДС!BH28</f>
        <v>533.6</v>
      </c>
      <c r="BI8" s="100">
        <f>ОДДС!BI28</f>
        <v>355.7</v>
      </c>
      <c r="BJ8" s="100">
        <f>ОДДС!BJ28</f>
        <v>177.9</v>
      </c>
    </row>
    <row r="9" spans="1:62" s="6" customFormat="1" ht="12">
      <c r="A9" s="19" t="s">
        <v>150</v>
      </c>
      <c r="B9" s="104">
        <f t="shared" si="0"/>
        <v>553036.5</v>
      </c>
      <c r="C9" s="100">
        <f>Амортизація!C24</f>
        <v>0</v>
      </c>
      <c r="D9" s="100">
        <f>Амортизація!D24</f>
        <v>9373.5</v>
      </c>
      <c r="E9" s="100">
        <f>Амортизація!E24</f>
        <v>9373.5</v>
      </c>
      <c r="F9" s="100">
        <f>Амортизація!F24</f>
        <v>9373.5</v>
      </c>
      <c r="G9" s="100">
        <f>Амортизація!G24</f>
        <v>9373.5</v>
      </c>
      <c r="H9" s="100">
        <f>Амортизація!H24</f>
        <v>9373.5</v>
      </c>
      <c r="I9" s="100">
        <f>Амортизація!I24</f>
        <v>9373.5</v>
      </c>
      <c r="J9" s="100">
        <f>Амортизація!J24</f>
        <v>9373.5</v>
      </c>
      <c r="K9" s="100">
        <f>Амортизація!K24</f>
        <v>9373.5</v>
      </c>
      <c r="L9" s="100">
        <f>Амортизація!L24</f>
        <v>9373.5</v>
      </c>
      <c r="M9" s="100">
        <f>Амортизація!M24</f>
        <v>9373.5</v>
      </c>
      <c r="N9" s="100">
        <f>Амортизація!N24</f>
        <v>9373.5</v>
      </c>
      <c r="O9" s="100">
        <f>Амортизація!O24</f>
        <v>9373.5</v>
      </c>
      <c r="P9" s="100">
        <f>Амортизація!P24</f>
        <v>9373.5</v>
      </c>
      <c r="Q9" s="100">
        <f>Амортизація!Q24</f>
        <v>9373.5</v>
      </c>
      <c r="R9" s="100">
        <f>Амортизація!R24</f>
        <v>9373.5</v>
      </c>
      <c r="S9" s="100">
        <f>Амортизація!S24</f>
        <v>9373.5</v>
      </c>
      <c r="T9" s="100">
        <f>Амортизація!T24</f>
        <v>9373.5</v>
      </c>
      <c r="U9" s="100">
        <f>Амортизація!U24</f>
        <v>9373.5</v>
      </c>
      <c r="V9" s="100">
        <f>Амортизація!V24</f>
        <v>9373.5</v>
      </c>
      <c r="W9" s="100">
        <f>Амортизація!W24</f>
        <v>9373.5</v>
      </c>
      <c r="X9" s="100">
        <f>Амортизація!X24</f>
        <v>9373.5</v>
      </c>
      <c r="Y9" s="100">
        <f>Амортизація!Y24</f>
        <v>9373.5</v>
      </c>
      <c r="Z9" s="100">
        <f>Амортизація!Z24</f>
        <v>9373.5</v>
      </c>
      <c r="AA9" s="100">
        <f>Амортизація!AA24</f>
        <v>9373.5</v>
      </c>
      <c r="AB9" s="100">
        <f>Амортизація!AB24</f>
        <v>9373.5</v>
      </c>
      <c r="AC9" s="100">
        <f>Амортизація!AC24</f>
        <v>9373.5</v>
      </c>
      <c r="AD9" s="100">
        <f>Амортизація!AD24</f>
        <v>9373.5</v>
      </c>
      <c r="AE9" s="100">
        <f>Амортизація!AE24</f>
        <v>9373.5</v>
      </c>
      <c r="AF9" s="100">
        <f>Амортизація!AF24</f>
        <v>9373.5</v>
      </c>
      <c r="AG9" s="100">
        <f>Амортизація!AG24</f>
        <v>9373.5</v>
      </c>
      <c r="AH9" s="100">
        <f>Амортизація!AH24</f>
        <v>9373.5</v>
      </c>
      <c r="AI9" s="100">
        <f>Амортизація!AI24</f>
        <v>9373.5</v>
      </c>
      <c r="AJ9" s="100">
        <f>Амортизація!AJ24</f>
        <v>9373.5</v>
      </c>
      <c r="AK9" s="100">
        <f>Амортизація!AK24</f>
        <v>9373.5</v>
      </c>
      <c r="AL9" s="100">
        <f>Амортизація!AL24</f>
        <v>9373.5</v>
      </c>
      <c r="AM9" s="100">
        <f>Амортизація!AM24</f>
        <v>9373.5</v>
      </c>
      <c r="AN9" s="100">
        <f>Амортизація!AN24</f>
        <v>9373.5</v>
      </c>
      <c r="AO9" s="100">
        <f>Амортизація!AO24</f>
        <v>9373.5</v>
      </c>
      <c r="AP9" s="100">
        <f>Амортизація!AP24</f>
        <v>9373.5</v>
      </c>
      <c r="AQ9" s="100">
        <f>Амортизація!AQ24</f>
        <v>9373.5</v>
      </c>
      <c r="AR9" s="100">
        <f>Амортизація!AR24</f>
        <v>9373.5</v>
      </c>
      <c r="AS9" s="100">
        <f>Амортизація!AS24</f>
        <v>9373.5</v>
      </c>
      <c r="AT9" s="100">
        <f>Амортизація!AT24</f>
        <v>9373.5</v>
      </c>
      <c r="AU9" s="100">
        <f>Амортизація!AU24</f>
        <v>9373.5</v>
      </c>
      <c r="AV9" s="100">
        <f>Амортизація!AV24</f>
        <v>9373.5</v>
      </c>
      <c r="AW9" s="100">
        <f>Амортизація!AW24</f>
        <v>9373.5</v>
      </c>
      <c r="AX9" s="100">
        <f>Амортизація!AX24</f>
        <v>9373.5</v>
      </c>
      <c r="AY9" s="100">
        <f>Амортизація!AY24</f>
        <v>9373.5</v>
      </c>
      <c r="AZ9" s="100">
        <f>Амортизація!AZ24</f>
        <v>9373.5</v>
      </c>
      <c r="BA9" s="100">
        <f>Амортизація!BA24</f>
        <v>9373.5</v>
      </c>
      <c r="BB9" s="100">
        <f>Амортизація!BB24</f>
        <v>9373.5</v>
      </c>
      <c r="BC9" s="100">
        <f>Амортизація!BC24</f>
        <v>9373.5</v>
      </c>
      <c r="BD9" s="100">
        <f>Амортизація!BD24</f>
        <v>9373.5</v>
      </c>
      <c r="BE9" s="100">
        <f>Амортизація!BE24</f>
        <v>9373.5</v>
      </c>
      <c r="BF9" s="100">
        <f>Амортизація!BF24</f>
        <v>9373.5</v>
      </c>
      <c r="BG9" s="100">
        <f>Амортизація!BG24</f>
        <v>9373.5</v>
      </c>
      <c r="BH9" s="100">
        <f>Амортизація!BH24</f>
        <v>9373.5</v>
      </c>
      <c r="BI9" s="100">
        <f>Амортизація!BI24</f>
        <v>9373.5</v>
      </c>
      <c r="BJ9" s="100">
        <f>Амортизація!BJ24</f>
        <v>9373.5</v>
      </c>
    </row>
    <row r="10" spans="1:62" s="9" customFormat="1" ht="12">
      <c r="A10" s="110" t="s">
        <v>166</v>
      </c>
      <c r="B10" s="106">
        <f t="shared" si="0"/>
        <v>2378907.3172707902</v>
      </c>
      <c r="C10" s="111">
        <f t="shared" ref="C10:AL10" si="1">C5-C6</f>
        <v>283191.92999999993</v>
      </c>
      <c r="D10" s="111">
        <f t="shared" si="1"/>
        <v>144488.87890000001</v>
      </c>
      <c r="E10" s="111">
        <f t="shared" si="1"/>
        <v>3581.280981500051</v>
      </c>
      <c r="F10" s="111">
        <f t="shared" si="1"/>
        <v>-52638.726352837053</v>
      </c>
      <c r="G10" s="111">
        <f t="shared" si="1"/>
        <v>5002.752757850918</v>
      </c>
      <c r="H10" s="111">
        <f t="shared" si="1"/>
        <v>5716.1550147455418</v>
      </c>
      <c r="I10" s="111">
        <f t="shared" si="1"/>
        <v>6431.3407772824867</v>
      </c>
      <c r="J10" s="111">
        <f t="shared" si="1"/>
        <v>7148.3145042257383</v>
      </c>
      <c r="K10" s="111">
        <f t="shared" si="1"/>
        <v>-49777.965467610862</v>
      </c>
      <c r="L10" s="111">
        <f t="shared" si="1"/>
        <v>8587.6437421501614</v>
      </c>
      <c r="M10" s="111">
        <f t="shared" si="1"/>
        <v>9310.0082265055971</v>
      </c>
      <c r="N10" s="111">
        <f t="shared" si="1"/>
        <v>10034.178622071631</v>
      </c>
      <c r="O10" s="111">
        <f t="shared" si="1"/>
        <v>300234.16888725385</v>
      </c>
      <c r="P10" s="111">
        <f t="shared" si="1"/>
        <v>155766.70782585372</v>
      </c>
      <c r="Q10" s="111">
        <f t="shared" si="1"/>
        <v>10573.270480278879</v>
      </c>
      <c r="R10" s="111">
        <f t="shared" si="1"/>
        <v>-47356.722174816299</v>
      </c>
      <c r="S10" s="111">
        <f t="shared" si="1"/>
        <v>12037.977680933313</v>
      </c>
      <c r="T10" s="111">
        <f t="shared" si="1"/>
        <v>12773.078750135493</v>
      </c>
      <c r="U10" s="111">
        <f t="shared" si="1"/>
        <v>13510.017572010867</v>
      </c>
      <c r="V10" s="111">
        <f t="shared" si="1"/>
        <v>14248.798740940751</v>
      </c>
      <c r="W10" s="111">
        <f t="shared" si="1"/>
        <v>-44408.94850976544</v>
      </c>
      <c r="X10" s="111">
        <f t="shared" si="1"/>
        <v>15731.906554950168</v>
      </c>
      <c r="Y10" s="111">
        <f t="shared" si="1"/>
        <v>16476.242446337477</v>
      </c>
      <c r="Z10" s="111">
        <f t="shared" si="1"/>
        <v>17222.439177453285</v>
      </c>
      <c r="AA10" s="111">
        <f t="shared" si="1"/>
        <v>309200.8168007941</v>
      </c>
      <c r="AB10" s="111">
        <f t="shared" si="1"/>
        <v>160339.23966834717</v>
      </c>
      <c r="AC10" s="111">
        <f t="shared" si="1"/>
        <v>10729.604988344945</v>
      </c>
      <c r="AD10" s="111">
        <f t="shared" si="1"/>
        <v>-48962.383827347192</v>
      </c>
      <c r="AE10" s="111">
        <f t="shared" si="1"/>
        <v>12238.86266010534</v>
      </c>
      <c r="AF10" s="111">
        <f t="shared" si="1"/>
        <v>12996.322531756014</v>
      </c>
      <c r="AG10" s="111">
        <f t="shared" si="1"/>
        <v>13755.676053085364</v>
      </c>
      <c r="AH10" s="111">
        <f t="shared" si="1"/>
        <v>14516.927958217915</v>
      </c>
      <c r="AI10" s="111">
        <f t="shared" si="1"/>
        <v>-45924.950805509114</v>
      </c>
      <c r="AJ10" s="111">
        <f t="shared" si="1"/>
        <v>16045.145915596164</v>
      </c>
      <c r="AK10" s="111">
        <f t="shared" si="1"/>
        <v>16812.121495385189</v>
      </c>
      <c r="AL10" s="111">
        <f t="shared" si="1"/>
        <v>17581.014514123672</v>
      </c>
      <c r="AM10" s="111">
        <f t="shared" ref="AM10:BJ10" si="2">AM5-AM6</f>
        <v>318861.23275081813</v>
      </c>
      <c r="AN10" s="111">
        <f t="shared" si="2"/>
        <v>165471.88830223377</v>
      </c>
      <c r="AO10" s="111">
        <f t="shared" si="2"/>
        <v>11311.733419959317</v>
      </c>
      <c r="AP10" s="111">
        <f t="shared" si="2"/>
        <v>-50195.844355632435</v>
      </c>
      <c r="AQ10" s="111">
        <f t="shared" si="2"/>
        <v>12866.896608035429</v>
      </c>
      <c r="AR10" s="111">
        <f t="shared" si="2"/>
        <v>13647.395346505451</v>
      </c>
      <c r="AS10" s="111">
        <f t="shared" si="2"/>
        <v>14429.845331821823</v>
      </c>
      <c r="AT10" s="111">
        <f t="shared" si="2"/>
        <v>15214.251442101318</v>
      </c>
      <c r="AU10" s="111">
        <f t="shared" si="2"/>
        <v>-47066.024901874713</v>
      </c>
      <c r="AV10" s="111">
        <f t="shared" si="2"/>
        <v>16788.951611025608</v>
      </c>
      <c r="AW10" s="111">
        <f t="shared" si="2"/>
        <v>17579.255487003131</v>
      </c>
      <c r="AX10" s="111">
        <f t="shared" si="2"/>
        <v>18371.535122670699</v>
      </c>
      <c r="AY10" s="111">
        <f t="shared" si="2"/>
        <v>328701.57870745473</v>
      </c>
      <c r="AZ10" s="111">
        <f t="shared" si="2"/>
        <v>170646.75056713121</v>
      </c>
      <c r="BA10" s="111">
        <f t="shared" si="2"/>
        <v>11797.667056178325</v>
      </c>
      <c r="BB10" s="111">
        <f t="shared" si="2"/>
        <v>-51580.722554889973</v>
      </c>
      <c r="BC10" s="111">
        <f t="shared" si="2"/>
        <v>13400.132020776393</v>
      </c>
      <c r="BD10" s="111">
        <f t="shared" si="2"/>
        <v>14204.370375246741</v>
      </c>
      <c r="BE10" s="111">
        <f t="shared" si="2"/>
        <v>15010.619325603708</v>
      </c>
      <c r="BF10" s="111">
        <f t="shared" si="2"/>
        <v>15818.883898335975</v>
      </c>
      <c r="BG10" s="111">
        <f t="shared" si="2"/>
        <v>-48355.706647479907</v>
      </c>
      <c r="BH10" s="111">
        <f t="shared" si="2"/>
        <v>17441.480079749948</v>
      </c>
      <c r="BI10" s="111">
        <f t="shared" si="2"/>
        <v>18255.821804367821</v>
      </c>
      <c r="BJ10" s="111">
        <f t="shared" si="2"/>
        <v>19072.199383297237</v>
      </c>
    </row>
    <row r="11" spans="1:62" s="9" customFormat="1" ht="12">
      <c r="A11" s="110" t="s">
        <v>167</v>
      </c>
      <c r="B11" s="35">
        <f>SUM(C11:BJ11)</f>
        <v>1092771.9317069659</v>
      </c>
      <c r="C11" s="111">
        <f t="shared" ref="C11:AL11" si="3">C10-C7-C9-C8</f>
        <v>223467.65459999995</v>
      </c>
      <c r="D11" s="111">
        <f t="shared" si="3"/>
        <v>102190.76069800001</v>
      </c>
      <c r="E11" s="111">
        <f t="shared" si="3"/>
        <v>-16106.91901849995</v>
      </c>
      <c r="F11" s="111">
        <f t="shared" si="3"/>
        <v>-72149.026352837056</v>
      </c>
      <c r="G11" s="111">
        <f t="shared" si="3"/>
        <v>-14329.747242149082</v>
      </c>
      <c r="H11" s="111">
        <f t="shared" si="3"/>
        <v>-13438.544985254459</v>
      </c>
      <c r="I11" s="111">
        <f t="shared" si="3"/>
        <v>-12545.459222717513</v>
      </c>
      <c r="J11" s="111">
        <f t="shared" si="3"/>
        <v>-11650.685495774262</v>
      </c>
      <c r="K11" s="111">
        <f t="shared" si="3"/>
        <v>-68399.165467610859</v>
      </c>
      <c r="L11" s="111">
        <f t="shared" si="3"/>
        <v>-9855.6562578498379</v>
      </c>
      <c r="M11" s="111">
        <f t="shared" si="3"/>
        <v>-8955.4917734944029</v>
      </c>
      <c r="N11" s="111">
        <f t="shared" si="3"/>
        <v>-8053.4213779283691</v>
      </c>
      <c r="O11" s="111">
        <f t="shared" si="3"/>
        <v>231505.98248754817</v>
      </c>
      <c r="P11" s="111">
        <f t="shared" si="3"/>
        <v>113188.46041720005</v>
      </c>
      <c r="Q11" s="111">
        <f t="shared" si="3"/>
        <v>-6980.829519721121</v>
      </c>
      <c r="R11" s="111">
        <f t="shared" si="3"/>
        <v>-64733.022174816302</v>
      </c>
      <c r="S11" s="111">
        <f t="shared" si="3"/>
        <v>-5160.4223190666871</v>
      </c>
      <c r="T11" s="111">
        <f t="shared" si="3"/>
        <v>-4247.5212498645069</v>
      </c>
      <c r="U11" s="111">
        <f t="shared" si="3"/>
        <v>-3332.7824279891329</v>
      </c>
      <c r="V11" s="111">
        <f t="shared" si="3"/>
        <v>-2416.1012590592491</v>
      </c>
      <c r="W11" s="111">
        <f t="shared" si="3"/>
        <v>-60896.048509765438</v>
      </c>
      <c r="X11" s="111">
        <f t="shared" si="3"/>
        <v>-577.39344504983183</v>
      </c>
      <c r="Y11" s="111">
        <f t="shared" si="3"/>
        <v>282.77080599673172</v>
      </c>
      <c r="Z11" s="111">
        <f t="shared" si="3"/>
        <v>1040.4481255116934</v>
      </c>
      <c r="AA11" s="111">
        <f t="shared" si="3"/>
        <v>240608.59577665117</v>
      </c>
      <c r="AB11" s="111">
        <f t="shared" si="3"/>
        <v>118687.89852804469</v>
      </c>
      <c r="AC11" s="111">
        <f t="shared" si="3"/>
        <v>-4690.4950116550554</v>
      </c>
      <c r="AD11" s="111">
        <f t="shared" si="3"/>
        <v>-64204.583827347189</v>
      </c>
      <c r="AE11" s="111">
        <f t="shared" si="3"/>
        <v>-2825.5373398946595</v>
      </c>
      <c r="AF11" s="111">
        <f t="shared" si="3"/>
        <v>-1890.1774682439864</v>
      </c>
      <c r="AG11" s="111">
        <f t="shared" si="3"/>
        <v>-953.02394691463542</v>
      </c>
      <c r="AH11" s="111">
        <f t="shared" si="3"/>
        <v>-13.972041782084489</v>
      </c>
      <c r="AI11" s="111">
        <f t="shared" si="3"/>
        <v>-60277.950805509114</v>
      </c>
      <c r="AJ11" s="111">
        <f t="shared" si="3"/>
        <v>1533.3556507888543</v>
      </c>
      <c r="AK11" s="111">
        <f t="shared" si="3"/>
        <v>2308.0716262158548</v>
      </c>
      <c r="AL11" s="111">
        <f t="shared" si="3"/>
        <v>3084.4419015814092</v>
      </c>
      <c r="AM11" s="111">
        <f t="shared" ref="AM11:BJ11" si="4">AM10-AM7-AM9-AM8</f>
        <v>250280.01685567084</v>
      </c>
      <c r="AN11" s="111">
        <f t="shared" si="4"/>
        <v>124646.63240783168</v>
      </c>
      <c r="AO11" s="111">
        <f t="shared" si="4"/>
        <v>-1974.266580040683</v>
      </c>
      <c r="AP11" s="111">
        <f t="shared" si="4"/>
        <v>-63304.044355632432</v>
      </c>
      <c r="AQ11" s="111">
        <f t="shared" si="4"/>
        <v>-63.403391964570801</v>
      </c>
      <c r="AR11" s="111">
        <f t="shared" si="4"/>
        <v>733.81418413446954</v>
      </c>
      <c r="AS11" s="111">
        <f t="shared" si="4"/>
        <v>1521.3011720938962</v>
      </c>
      <c r="AT11" s="111">
        <f t="shared" si="4"/>
        <v>2310.3101825230815</v>
      </c>
      <c r="AU11" s="111">
        <f t="shared" si="4"/>
        <v>-59285.024901874713</v>
      </c>
      <c r="AV11" s="111">
        <f t="shared" si="4"/>
        <v>3893.2383210409994</v>
      </c>
      <c r="AW11" s="111">
        <f t="shared" si="4"/>
        <v>4687.083499342566</v>
      </c>
      <c r="AX11" s="111">
        <f t="shared" si="4"/>
        <v>5482.5488005899715</v>
      </c>
      <c r="AY11" s="111">
        <f t="shared" si="4"/>
        <v>260099.06254011285</v>
      </c>
      <c r="AZ11" s="111">
        <f t="shared" si="4"/>
        <v>130639.89946504759</v>
      </c>
      <c r="BA11" s="111">
        <f t="shared" si="4"/>
        <v>529.52898606622648</v>
      </c>
      <c r="BB11" s="111">
        <f t="shared" si="4"/>
        <v>-62554.822554889972</v>
      </c>
      <c r="BC11" s="111">
        <f t="shared" si="4"/>
        <v>2135.1422570366421</v>
      </c>
      <c r="BD11" s="111">
        <f t="shared" si="4"/>
        <v>2940.4957077023278</v>
      </c>
      <c r="BE11" s="111">
        <f t="shared" si="4"/>
        <v>3747.4158469950403</v>
      </c>
      <c r="BF11" s="111">
        <f t="shared" si="4"/>
        <v>4556.0707966354994</v>
      </c>
      <c r="BG11" s="111">
        <f t="shared" si="4"/>
        <v>-58440.606647479908</v>
      </c>
      <c r="BH11" s="111">
        <f t="shared" si="4"/>
        <v>6178.1916653949575</v>
      </c>
      <c r="BI11" s="111">
        <f t="shared" si="4"/>
        <v>6991.8298795816127</v>
      </c>
      <c r="BJ11" s="111">
        <f t="shared" si="4"/>
        <v>7807.0554943037332</v>
      </c>
    </row>
    <row r="12" spans="1:62" s="6" customFormat="1" ht="12">
      <c r="A12" s="19" t="s">
        <v>168</v>
      </c>
      <c r="B12" s="104">
        <f>BJ12</f>
        <v>1092771.9317069659</v>
      </c>
      <c r="C12" s="100">
        <f>C11</f>
        <v>223467.65459999995</v>
      </c>
      <c r="D12" s="100">
        <f>C12+D11</f>
        <v>325658.41529799998</v>
      </c>
      <c r="E12" s="100">
        <f t="shared" ref="E12:AL12" si="5">D12+E11</f>
        <v>309551.49627950002</v>
      </c>
      <c r="F12" s="100">
        <f t="shared" si="5"/>
        <v>237402.46992666298</v>
      </c>
      <c r="G12" s="100">
        <f t="shared" si="5"/>
        <v>223072.72268451389</v>
      </c>
      <c r="H12" s="100">
        <f t="shared" si="5"/>
        <v>209634.17769925942</v>
      </c>
      <c r="I12" s="100">
        <f t="shared" si="5"/>
        <v>197088.71847654192</v>
      </c>
      <c r="J12" s="100">
        <f t="shared" si="5"/>
        <v>185438.03298076766</v>
      </c>
      <c r="K12" s="100">
        <f t="shared" si="5"/>
        <v>117038.8675131568</v>
      </c>
      <c r="L12" s="100">
        <f t="shared" si="5"/>
        <v>107183.21125530696</v>
      </c>
      <c r="M12" s="100">
        <f t="shared" si="5"/>
        <v>98227.719481812557</v>
      </c>
      <c r="N12" s="100">
        <f t="shared" si="5"/>
        <v>90174.298103884183</v>
      </c>
      <c r="O12" s="100">
        <f t="shared" si="5"/>
        <v>321680.28059143235</v>
      </c>
      <c r="P12" s="100">
        <f t="shared" si="5"/>
        <v>434868.74100863241</v>
      </c>
      <c r="Q12" s="100">
        <f t="shared" si="5"/>
        <v>427887.91148891131</v>
      </c>
      <c r="R12" s="100">
        <f t="shared" si="5"/>
        <v>363154.88931409502</v>
      </c>
      <c r="S12" s="100">
        <f t="shared" si="5"/>
        <v>357994.46699502831</v>
      </c>
      <c r="T12" s="100">
        <f t="shared" si="5"/>
        <v>353746.94574516383</v>
      </c>
      <c r="U12" s="100">
        <f t="shared" si="5"/>
        <v>350414.16331717471</v>
      </c>
      <c r="V12" s="100">
        <f t="shared" si="5"/>
        <v>347998.06205811544</v>
      </c>
      <c r="W12" s="100">
        <f t="shared" si="5"/>
        <v>287102.01354835002</v>
      </c>
      <c r="X12" s="100">
        <f t="shared" si="5"/>
        <v>286524.6201033002</v>
      </c>
      <c r="Y12" s="100">
        <f t="shared" si="5"/>
        <v>286807.39090929693</v>
      </c>
      <c r="Z12" s="100">
        <f t="shared" si="5"/>
        <v>287847.83903480863</v>
      </c>
      <c r="AA12" s="100">
        <f t="shared" si="5"/>
        <v>528456.43481145985</v>
      </c>
      <c r="AB12" s="100">
        <f t="shared" si="5"/>
        <v>647144.33333950455</v>
      </c>
      <c r="AC12" s="100">
        <f t="shared" si="5"/>
        <v>642453.83832784952</v>
      </c>
      <c r="AD12" s="100">
        <f t="shared" si="5"/>
        <v>578249.25450050237</v>
      </c>
      <c r="AE12" s="100">
        <f t="shared" si="5"/>
        <v>575423.71716060769</v>
      </c>
      <c r="AF12" s="100">
        <f t="shared" si="5"/>
        <v>573533.5396923637</v>
      </c>
      <c r="AG12" s="100">
        <f t="shared" si="5"/>
        <v>572580.51574544911</v>
      </c>
      <c r="AH12" s="100">
        <f t="shared" si="5"/>
        <v>572566.543703667</v>
      </c>
      <c r="AI12" s="100">
        <f t="shared" si="5"/>
        <v>512288.59289815789</v>
      </c>
      <c r="AJ12" s="100">
        <f t="shared" si="5"/>
        <v>513821.94854894676</v>
      </c>
      <c r="AK12" s="100">
        <f t="shared" si="5"/>
        <v>516130.02017516264</v>
      </c>
      <c r="AL12" s="100">
        <f t="shared" si="5"/>
        <v>519214.46207674406</v>
      </c>
      <c r="AM12" s="100">
        <f t="shared" ref="AM12" si="6">AL12+AM11</f>
        <v>769494.4789324149</v>
      </c>
      <c r="AN12" s="100">
        <f t="shared" ref="AN12" si="7">AM12+AN11</f>
        <v>894141.11134024663</v>
      </c>
      <c r="AO12" s="100">
        <f t="shared" ref="AO12" si="8">AN12+AO11</f>
        <v>892166.84476020595</v>
      </c>
      <c r="AP12" s="100">
        <f t="shared" ref="AP12" si="9">AO12+AP11</f>
        <v>828862.80040457356</v>
      </c>
      <c r="AQ12" s="100">
        <f t="shared" ref="AQ12" si="10">AP12+AQ11</f>
        <v>828799.39701260894</v>
      </c>
      <c r="AR12" s="100">
        <f t="shared" ref="AR12" si="11">AQ12+AR11</f>
        <v>829533.21119674342</v>
      </c>
      <c r="AS12" s="100">
        <f t="shared" ref="AS12" si="12">AR12+AS11</f>
        <v>831054.51236883737</v>
      </c>
      <c r="AT12" s="100">
        <f t="shared" ref="AT12" si="13">AS12+AT11</f>
        <v>833364.82255136047</v>
      </c>
      <c r="AU12" s="100">
        <f t="shared" ref="AU12" si="14">AT12+AU11</f>
        <v>774079.79764948576</v>
      </c>
      <c r="AV12" s="100">
        <f t="shared" ref="AV12" si="15">AU12+AV11</f>
        <v>777973.03597052675</v>
      </c>
      <c r="AW12" s="100">
        <f t="shared" ref="AW12" si="16">AV12+AW11</f>
        <v>782660.1194698693</v>
      </c>
      <c r="AX12" s="100">
        <f t="shared" ref="AX12" si="17">AW12+AX11</f>
        <v>788142.66827045928</v>
      </c>
      <c r="AY12" s="100">
        <f t="shared" ref="AY12" si="18">AX12+AY11</f>
        <v>1048241.7308105722</v>
      </c>
      <c r="AZ12" s="100">
        <f t="shared" ref="AZ12" si="19">AY12+AZ11</f>
        <v>1178881.6302756197</v>
      </c>
      <c r="BA12" s="100">
        <f t="shared" ref="BA12" si="20">AZ12+BA11</f>
        <v>1179411.1592616858</v>
      </c>
      <c r="BB12" s="100">
        <f t="shared" ref="BB12" si="21">BA12+BB11</f>
        <v>1116856.3367067957</v>
      </c>
      <c r="BC12" s="100">
        <f t="shared" ref="BC12" si="22">BB12+BC11</f>
        <v>1118991.4789638324</v>
      </c>
      <c r="BD12" s="100">
        <f t="shared" ref="BD12" si="23">BC12+BD11</f>
        <v>1121931.9746715347</v>
      </c>
      <c r="BE12" s="100">
        <f t="shared" ref="BE12" si="24">BD12+BE11</f>
        <v>1125679.3905185298</v>
      </c>
      <c r="BF12" s="100">
        <f t="shared" ref="BF12" si="25">BE12+BF11</f>
        <v>1130235.4613151653</v>
      </c>
      <c r="BG12" s="100">
        <f t="shared" ref="BG12" si="26">BF12+BG11</f>
        <v>1071794.8546676855</v>
      </c>
      <c r="BH12" s="100">
        <f t="shared" ref="BH12" si="27">BG12+BH11</f>
        <v>1077973.0463330804</v>
      </c>
      <c r="BI12" s="100">
        <f t="shared" ref="BI12" si="28">BH12+BI11</f>
        <v>1084964.8762126621</v>
      </c>
      <c r="BJ12" s="100">
        <f t="shared" ref="BJ12" si="29">BI12+BJ11</f>
        <v>1092771.9317069659</v>
      </c>
    </row>
    <row r="13" spans="1:62" s="6" customFormat="1" ht="12">
      <c r="A13" s="19"/>
      <c r="B13" s="104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</row>
    <row r="14" spans="1:62" s="9" customFormat="1" ht="12">
      <c r="A14" s="110"/>
      <c r="B14" s="106">
        <f>SUM(C14:BJ14)</f>
        <v>300</v>
      </c>
      <c r="C14" s="111">
        <v>0</v>
      </c>
      <c r="D14" s="111">
        <v>0</v>
      </c>
      <c r="E14" s="111">
        <v>0</v>
      </c>
      <c r="F14" s="111">
        <v>0</v>
      </c>
      <c r="G14" s="111">
        <v>0</v>
      </c>
      <c r="H14" s="111">
        <v>0</v>
      </c>
      <c r="I14" s="111">
        <v>0</v>
      </c>
      <c r="J14" s="111">
        <v>0</v>
      </c>
      <c r="K14" s="111">
        <v>0</v>
      </c>
      <c r="L14" s="111">
        <v>0</v>
      </c>
      <c r="M14" s="111">
        <v>0</v>
      </c>
      <c r="N14" s="111">
        <v>0</v>
      </c>
      <c r="O14" s="111">
        <v>0</v>
      </c>
      <c r="P14" s="111">
        <v>0</v>
      </c>
      <c r="Q14" s="111">
        <v>0</v>
      </c>
      <c r="R14" s="111">
        <v>0</v>
      </c>
      <c r="S14" s="111">
        <v>0</v>
      </c>
      <c r="T14" s="111">
        <v>0</v>
      </c>
      <c r="U14" s="111">
        <v>0</v>
      </c>
      <c r="V14" s="111">
        <v>0</v>
      </c>
      <c r="W14" s="111">
        <v>0</v>
      </c>
      <c r="X14" s="111">
        <v>0</v>
      </c>
      <c r="Y14" s="111">
        <v>0</v>
      </c>
      <c r="Z14" s="111">
        <v>0</v>
      </c>
      <c r="AA14" s="111">
        <v>0</v>
      </c>
      <c r="AB14" s="111">
        <v>0</v>
      </c>
      <c r="AC14" s="111">
        <v>0</v>
      </c>
      <c r="AD14" s="111">
        <v>0</v>
      </c>
      <c r="AE14" s="111">
        <v>0</v>
      </c>
      <c r="AF14" s="111">
        <v>0</v>
      </c>
      <c r="AG14" s="111">
        <v>0</v>
      </c>
      <c r="AH14" s="111">
        <v>0</v>
      </c>
      <c r="AI14" s="111">
        <v>0</v>
      </c>
      <c r="AJ14" s="111">
        <v>0</v>
      </c>
      <c r="AK14" s="111">
        <v>0</v>
      </c>
      <c r="AL14" s="111">
        <v>0</v>
      </c>
      <c r="AM14" s="111">
        <v>1</v>
      </c>
      <c r="AN14" s="111">
        <v>2</v>
      </c>
      <c r="AO14" s="111">
        <v>3</v>
      </c>
      <c r="AP14" s="111">
        <v>4</v>
      </c>
      <c r="AQ14" s="111">
        <v>5</v>
      </c>
      <c r="AR14" s="111">
        <v>6</v>
      </c>
      <c r="AS14" s="111">
        <v>7</v>
      </c>
      <c r="AT14" s="111">
        <v>8</v>
      </c>
      <c r="AU14" s="111">
        <v>9</v>
      </c>
      <c r="AV14" s="111">
        <v>10</v>
      </c>
      <c r="AW14" s="111">
        <v>11</v>
      </c>
      <c r="AX14" s="111">
        <v>12</v>
      </c>
      <c r="AY14" s="111">
        <v>13</v>
      </c>
      <c r="AZ14" s="111">
        <v>14</v>
      </c>
      <c r="BA14" s="111">
        <v>15</v>
      </c>
      <c r="BB14" s="111">
        <v>16</v>
      </c>
      <c r="BC14" s="111">
        <v>17</v>
      </c>
      <c r="BD14" s="111">
        <v>18</v>
      </c>
      <c r="BE14" s="111">
        <v>19</v>
      </c>
      <c r="BF14" s="111">
        <v>20</v>
      </c>
      <c r="BG14" s="111">
        <v>21</v>
      </c>
      <c r="BH14" s="111">
        <v>22</v>
      </c>
      <c r="BI14" s="111">
        <v>23</v>
      </c>
      <c r="BJ14" s="111">
        <v>24</v>
      </c>
    </row>
    <row r="15" spans="1:62" s="9" customFormat="1" ht="12">
      <c r="A15" s="110" t="s">
        <v>169</v>
      </c>
      <c r="B15" s="106">
        <f>SUM(C15:BJ15)</f>
        <v>1092771.9317069659</v>
      </c>
      <c r="C15" s="111">
        <f t="shared" ref="C15:AL15" si="30">C11-C13</f>
        <v>223467.65459999995</v>
      </c>
      <c r="D15" s="111">
        <f t="shared" si="30"/>
        <v>102190.76069800001</v>
      </c>
      <c r="E15" s="111">
        <f t="shared" si="30"/>
        <v>-16106.91901849995</v>
      </c>
      <c r="F15" s="111">
        <f t="shared" si="30"/>
        <v>-72149.026352837056</v>
      </c>
      <c r="G15" s="111">
        <f t="shared" si="30"/>
        <v>-14329.747242149082</v>
      </c>
      <c r="H15" s="111">
        <f t="shared" si="30"/>
        <v>-13438.544985254459</v>
      </c>
      <c r="I15" s="111">
        <f t="shared" si="30"/>
        <v>-12545.459222717513</v>
      </c>
      <c r="J15" s="111">
        <f t="shared" si="30"/>
        <v>-11650.685495774262</v>
      </c>
      <c r="K15" s="111">
        <f t="shared" si="30"/>
        <v>-68399.165467610859</v>
      </c>
      <c r="L15" s="111">
        <f t="shared" si="30"/>
        <v>-9855.6562578498379</v>
      </c>
      <c r="M15" s="111">
        <f t="shared" si="30"/>
        <v>-8955.4917734944029</v>
      </c>
      <c r="N15" s="111">
        <f t="shared" si="30"/>
        <v>-8053.4213779283691</v>
      </c>
      <c r="O15" s="111">
        <f t="shared" si="30"/>
        <v>231505.98248754817</v>
      </c>
      <c r="P15" s="111">
        <f t="shared" si="30"/>
        <v>113188.46041720005</v>
      </c>
      <c r="Q15" s="111">
        <f t="shared" si="30"/>
        <v>-6980.829519721121</v>
      </c>
      <c r="R15" s="111">
        <f t="shared" si="30"/>
        <v>-64733.022174816302</v>
      </c>
      <c r="S15" s="111">
        <f t="shared" si="30"/>
        <v>-5160.4223190666871</v>
      </c>
      <c r="T15" s="111">
        <f t="shared" si="30"/>
        <v>-4247.5212498645069</v>
      </c>
      <c r="U15" s="111">
        <f t="shared" si="30"/>
        <v>-3332.7824279891329</v>
      </c>
      <c r="V15" s="111">
        <f t="shared" si="30"/>
        <v>-2416.1012590592491</v>
      </c>
      <c r="W15" s="111">
        <f t="shared" si="30"/>
        <v>-60896.048509765438</v>
      </c>
      <c r="X15" s="111">
        <f t="shared" si="30"/>
        <v>-577.39344504983183</v>
      </c>
      <c r="Y15" s="111">
        <f t="shared" si="30"/>
        <v>282.77080599673172</v>
      </c>
      <c r="Z15" s="111">
        <f t="shared" si="30"/>
        <v>1040.4481255116934</v>
      </c>
      <c r="AA15" s="111">
        <f t="shared" si="30"/>
        <v>240608.59577665117</v>
      </c>
      <c r="AB15" s="111">
        <f t="shared" si="30"/>
        <v>118687.89852804469</v>
      </c>
      <c r="AC15" s="111">
        <f t="shared" si="30"/>
        <v>-4690.4950116550554</v>
      </c>
      <c r="AD15" s="111">
        <f t="shared" si="30"/>
        <v>-64204.583827347189</v>
      </c>
      <c r="AE15" s="111">
        <f t="shared" si="30"/>
        <v>-2825.5373398946595</v>
      </c>
      <c r="AF15" s="111">
        <f t="shared" si="30"/>
        <v>-1890.1774682439864</v>
      </c>
      <c r="AG15" s="111">
        <f t="shared" si="30"/>
        <v>-953.02394691463542</v>
      </c>
      <c r="AH15" s="111">
        <f t="shared" si="30"/>
        <v>-13.972041782084489</v>
      </c>
      <c r="AI15" s="111">
        <f t="shared" si="30"/>
        <v>-60277.950805509114</v>
      </c>
      <c r="AJ15" s="111">
        <f t="shared" si="30"/>
        <v>1533.3556507888543</v>
      </c>
      <c r="AK15" s="111">
        <f t="shared" si="30"/>
        <v>2308.0716262158548</v>
      </c>
      <c r="AL15" s="111">
        <f t="shared" si="30"/>
        <v>3084.4419015814092</v>
      </c>
      <c r="AM15" s="111">
        <f t="shared" ref="AM15:BJ15" si="31">AM11-AM13</f>
        <v>250280.01685567084</v>
      </c>
      <c r="AN15" s="111">
        <f t="shared" si="31"/>
        <v>124646.63240783168</v>
      </c>
      <c r="AO15" s="111">
        <f t="shared" si="31"/>
        <v>-1974.266580040683</v>
      </c>
      <c r="AP15" s="111">
        <f t="shared" si="31"/>
        <v>-63304.044355632432</v>
      </c>
      <c r="AQ15" s="111">
        <f t="shared" si="31"/>
        <v>-63.403391964570801</v>
      </c>
      <c r="AR15" s="111">
        <f t="shared" si="31"/>
        <v>733.81418413446954</v>
      </c>
      <c r="AS15" s="111">
        <f t="shared" si="31"/>
        <v>1521.3011720938962</v>
      </c>
      <c r="AT15" s="111">
        <f t="shared" si="31"/>
        <v>2310.3101825230815</v>
      </c>
      <c r="AU15" s="111">
        <f t="shared" si="31"/>
        <v>-59285.024901874713</v>
      </c>
      <c r="AV15" s="111">
        <f t="shared" si="31"/>
        <v>3893.2383210409994</v>
      </c>
      <c r="AW15" s="111">
        <f t="shared" si="31"/>
        <v>4687.083499342566</v>
      </c>
      <c r="AX15" s="111">
        <f t="shared" si="31"/>
        <v>5482.5488005899715</v>
      </c>
      <c r="AY15" s="111">
        <f t="shared" si="31"/>
        <v>260099.06254011285</v>
      </c>
      <c r="AZ15" s="111">
        <f t="shared" si="31"/>
        <v>130639.89946504759</v>
      </c>
      <c r="BA15" s="111">
        <f t="shared" si="31"/>
        <v>529.52898606622648</v>
      </c>
      <c r="BB15" s="111">
        <f t="shared" si="31"/>
        <v>-62554.822554889972</v>
      </c>
      <c r="BC15" s="111">
        <f t="shared" si="31"/>
        <v>2135.1422570366421</v>
      </c>
      <c r="BD15" s="111">
        <f t="shared" si="31"/>
        <v>2940.4957077023278</v>
      </c>
      <c r="BE15" s="111">
        <f t="shared" si="31"/>
        <v>3747.4158469950403</v>
      </c>
      <c r="BF15" s="111">
        <f t="shared" si="31"/>
        <v>4556.0707966354994</v>
      </c>
      <c r="BG15" s="111">
        <f t="shared" si="31"/>
        <v>-58440.606647479908</v>
      </c>
      <c r="BH15" s="111">
        <f t="shared" si="31"/>
        <v>6178.1916653949575</v>
      </c>
      <c r="BI15" s="111">
        <f t="shared" si="31"/>
        <v>6991.8298795816127</v>
      </c>
      <c r="BJ15" s="111">
        <f t="shared" si="31"/>
        <v>7807.0554943037332</v>
      </c>
    </row>
    <row r="16" spans="1:62" s="6" customFormat="1" ht="12">
      <c r="A16" s="19" t="s">
        <v>170</v>
      </c>
      <c r="B16" s="104">
        <f>BJ16</f>
        <v>1092771.9317069659</v>
      </c>
      <c r="C16" s="100">
        <f>C15</f>
        <v>223467.65459999995</v>
      </c>
      <c r="D16" s="100">
        <f>C16+D15</f>
        <v>325658.41529799998</v>
      </c>
      <c r="E16" s="100">
        <f t="shared" ref="E16:AL16" si="32">D16+E15</f>
        <v>309551.49627950002</v>
      </c>
      <c r="F16" s="100">
        <f t="shared" si="32"/>
        <v>237402.46992666298</v>
      </c>
      <c r="G16" s="100">
        <f t="shared" si="32"/>
        <v>223072.72268451389</v>
      </c>
      <c r="H16" s="100">
        <f t="shared" si="32"/>
        <v>209634.17769925942</v>
      </c>
      <c r="I16" s="100">
        <f t="shared" si="32"/>
        <v>197088.71847654192</v>
      </c>
      <c r="J16" s="100">
        <f t="shared" si="32"/>
        <v>185438.03298076766</v>
      </c>
      <c r="K16" s="100">
        <f t="shared" si="32"/>
        <v>117038.8675131568</v>
      </c>
      <c r="L16" s="100">
        <f t="shared" si="32"/>
        <v>107183.21125530696</v>
      </c>
      <c r="M16" s="100">
        <f t="shared" si="32"/>
        <v>98227.719481812557</v>
      </c>
      <c r="N16" s="100">
        <f t="shared" si="32"/>
        <v>90174.298103884183</v>
      </c>
      <c r="O16" s="100">
        <f t="shared" si="32"/>
        <v>321680.28059143235</v>
      </c>
      <c r="P16" s="100">
        <f t="shared" si="32"/>
        <v>434868.74100863241</v>
      </c>
      <c r="Q16" s="100">
        <f t="shared" si="32"/>
        <v>427887.91148891131</v>
      </c>
      <c r="R16" s="100">
        <f t="shared" si="32"/>
        <v>363154.88931409502</v>
      </c>
      <c r="S16" s="100">
        <f t="shared" si="32"/>
        <v>357994.46699502831</v>
      </c>
      <c r="T16" s="100">
        <f t="shared" si="32"/>
        <v>353746.94574516383</v>
      </c>
      <c r="U16" s="100">
        <f t="shared" si="32"/>
        <v>350414.16331717471</v>
      </c>
      <c r="V16" s="100">
        <f t="shared" si="32"/>
        <v>347998.06205811544</v>
      </c>
      <c r="W16" s="100">
        <f t="shared" si="32"/>
        <v>287102.01354835002</v>
      </c>
      <c r="X16" s="100">
        <f t="shared" si="32"/>
        <v>286524.6201033002</v>
      </c>
      <c r="Y16" s="100">
        <f t="shared" si="32"/>
        <v>286807.39090929693</v>
      </c>
      <c r="Z16" s="100">
        <f t="shared" si="32"/>
        <v>287847.83903480863</v>
      </c>
      <c r="AA16" s="100">
        <f t="shared" si="32"/>
        <v>528456.43481145985</v>
      </c>
      <c r="AB16" s="100">
        <f t="shared" si="32"/>
        <v>647144.33333950455</v>
      </c>
      <c r="AC16" s="100">
        <f t="shared" si="32"/>
        <v>642453.83832784952</v>
      </c>
      <c r="AD16" s="100">
        <f t="shared" si="32"/>
        <v>578249.25450050237</v>
      </c>
      <c r="AE16" s="100">
        <f t="shared" si="32"/>
        <v>575423.71716060769</v>
      </c>
      <c r="AF16" s="100">
        <f t="shared" si="32"/>
        <v>573533.5396923637</v>
      </c>
      <c r="AG16" s="100">
        <f t="shared" si="32"/>
        <v>572580.51574544911</v>
      </c>
      <c r="AH16" s="100">
        <f t="shared" si="32"/>
        <v>572566.543703667</v>
      </c>
      <c r="AI16" s="100">
        <f t="shared" si="32"/>
        <v>512288.59289815789</v>
      </c>
      <c r="AJ16" s="100">
        <f t="shared" si="32"/>
        <v>513821.94854894676</v>
      </c>
      <c r="AK16" s="100">
        <f t="shared" si="32"/>
        <v>516130.02017516264</v>
      </c>
      <c r="AL16" s="100">
        <f t="shared" si="32"/>
        <v>519214.46207674406</v>
      </c>
      <c r="AM16" s="100">
        <f t="shared" ref="AM16" si="33">AL16+AM15</f>
        <v>769494.4789324149</v>
      </c>
      <c r="AN16" s="100">
        <f t="shared" ref="AN16" si="34">AM16+AN15</f>
        <v>894141.11134024663</v>
      </c>
      <c r="AO16" s="100">
        <f t="shared" ref="AO16" si="35">AN16+AO15</f>
        <v>892166.84476020595</v>
      </c>
      <c r="AP16" s="100">
        <f t="shared" ref="AP16" si="36">AO16+AP15</f>
        <v>828862.80040457356</v>
      </c>
      <c r="AQ16" s="100">
        <f t="shared" ref="AQ16" si="37">AP16+AQ15</f>
        <v>828799.39701260894</v>
      </c>
      <c r="AR16" s="100">
        <f t="shared" ref="AR16" si="38">AQ16+AR15</f>
        <v>829533.21119674342</v>
      </c>
      <c r="AS16" s="100">
        <f t="shared" ref="AS16" si="39">AR16+AS15</f>
        <v>831054.51236883737</v>
      </c>
      <c r="AT16" s="100">
        <f t="shared" ref="AT16" si="40">AS16+AT15</f>
        <v>833364.82255136047</v>
      </c>
      <c r="AU16" s="100">
        <f t="shared" ref="AU16" si="41">AT16+AU15</f>
        <v>774079.79764948576</v>
      </c>
      <c r="AV16" s="100">
        <f t="shared" ref="AV16" si="42">AU16+AV15</f>
        <v>777973.03597052675</v>
      </c>
      <c r="AW16" s="100">
        <f t="shared" ref="AW16" si="43">AV16+AW15</f>
        <v>782660.1194698693</v>
      </c>
      <c r="AX16" s="100">
        <f t="shared" ref="AX16" si="44">AW16+AX15</f>
        <v>788142.66827045928</v>
      </c>
      <c r="AY16" s="100">
        <f t="shared" ref="AY16" si="45">AX16+AY15</f>
        <v>1048241.7308105722</v>
      </c>
      <c r="AZ16" s="100">
        <f t="shared" ref="AZ16" si="46">AY16+AZ15</f>
        <v>1178881.6302756197</v>
      </c>
      <c r="BA16" s="100">
        <f t="shared" ref="BA16" si="47">AZ16+BA15</f>
        <v>1179411.1592616858</v>
      </c>
      <c r="BB16" s="100">
        <f t="shared" ref="BB16" si="48">BA16+BB15</f>
        <v>1116856.3367067957</v>
      </c>
      <c r="BC16" s="100">
        <f t="shared" ref="BC16" si="49">BB16+BC15</f>
        <v>1118991.4789638324</v>
      </c>
      <c r="BD16" s="100">
        <f t="shared" ref="BD16" si="50">BC16+BD15</f>
        <v>1121931.9746715347</v>
      </c>
      <c r="BE16" s="100">
        <f t="shared" ref="BE16" si="51">BD16+BE15</f>
        <v>1125679.3905185298</v>
      </c>
      <c r="BF16" s="100">
        <f t="shared" ref="BF16" si="52">BE16+BF15</f>
        <v>1130235.4613151653</v>
      </c>
      <c r="BG16" s="100">
        <f t="shared" ref="BG16" si="53">BF16+BG15</f>
        <v>1071794.8546676855</v>
      </c>
      <c r="BH16" s="100">
        <f t="shared" ref="BH16" si="54">BG16+BH15</f>
        <v>1077973.0463330804</v>
      </c>
      <c r="BI16" s="100">
        <f t="shared" ref="BI16" si="55">BH16+BI15</f>
        <v>1084964.8762126621</v>
      </c>
      <c r="BJ16" s="100">
        <f t="shared" ref="BJ16" si="56">BI16+BJ15</f>
        <v>1092771.9317069659</v>
      </c>
    </row>
    <row r="17" spans="1:62" s="6" customFormat="1" ht="12">
      <c r="A17" s="19" t="s">
        <v>171</v>
      </c>
      <c r="B17" s="104">
        <f>SUM(C17:BJ17)</f>
        <v>1645808.4317069652</v>
      </c>
      <c r="C17" s="100">
        <f t="shared" ref="C17:AL17" si="57">C15+C9</f>
        <v>223467.65459999995</v>
      </c>
      <c r="D17" s="100">
        <f t="shared" si="57"/>
        <v>111564.26069800001</v>
      </c>
      <c r="E17" s="100">
        <f t="shared" si="57"/>
        <v>-6733.4190184999497</v>
      </c>
      <c r="F17" s="100">
        <f t="shared" si="57"/>
        <v>-62775.526352837056</v>
      </c>
      <c r="G17" s="100">
        <f t="shared" si="57"/>
        <v>-4956.247242149082</v>
      </c>
      <c r="H17" s="100">
        <f t="shared" si="57"/>
        <v>-4065.0449852544589</v>
      </c>
      <c r="I17" s="100">
        <f t="shared" si="57"/>
        <v>-3171.9592227175126</v>
      </c>
      <c r="J17" s="100">
        <f t="shared" si="57"/>
        <v>-2277.1854957742617</v>
      </c>
      <c r="K17" s="100">
        <f t="shared" si="57"/>
        <v>-59025.665467610859</v>
      </c>
      <c r="L17" s="100">
        <f t="shared" si="57"/>
        <v>-482.15625784983786</v>
      </c>
      <c r="M17" s="100">
        <f t="shared" si="57"/>
        <v>418.00822650559712</v>
      </c>
      <c r="N17" s="100">
        <f t="shared" si="57"/>
        <v>1320.0786220716309</v>
      </c>
      <c r="O17" s="100">
        <f t="shared" si="57"/>
        <v>240879.48248754817</v>
      </c>
      <c r="P17" s="100">
        <f t="shared" si="57"/>
        <v>122561.96041720005</v>
      </c>
      <c r="Q17" s="100">
        <f t="shared" si="57"/>
        <v>2392.670480278879</v>
      </c>
      <c r="R17" s="100">
        <f t="shared" si="57"/>
        <v>-55359.522174816302</v>
      </c>
      <c r="S17" s="100">
        <f t="shared" si="57"/>
        <v>4213.0776809333129</v>
      </c>
      <c r="T17" s="100">
        <f t="shared" si="57"/>
        <v>5125.9787501354931</v>
      </c>
      <c r="U17" s="100">
        <f t="shared" si="57"/>
        <v>6040.7175720108671</v>
      </c>
      <c r="V17" s="100">
        <f t="shared" si="57"/>
        <v>6957.3987409407509</v>
      </c>
      <c r="W17" s="100">
        <f t="shared" si="57"/>
        <v>-51522.548509765438</v>
      </c>
      <c r="X17" s="100">
        <f t="shared" si="57"/>
        <v>8796.1065549501691</v>
      </c>
      <c r="Y17" s="100">
        <f t="shared" si="57"/>
        <v>9656.2708059967317</v>
      </c>
      <c r="Z17" s="100">
        <f t="shared" si="57"/>
        <v>10413.948125511693</v>
      </c>
      <c r="AA17" s="100">
        <f t="shared" si="57"/>
        <v>249982.09577665117</v>
      </c>
      <c r="AB17" s="100">
        <f t="shared" si="57"/>
        <v>128061.39852804469</v>
      </c>
      <c r="AC17" s="100">
        <f t="shared" si="57"/>
        <v>4683.0049883449446</v>
      </c>
      <c r="AD17" s="100">
        <f t="shared" si="57"/>
        <v>-54831.083827347189</v>
      </c>
      <c r="AE17" s="100">
        <f t="shared" si="57"/>
        <v>6547.9626601053405</v>
      </c>
      <c r="AF17" s="100">
        <f t="shared" si="57"/>
        <v>7483.3225317560136</v>
      </c>
      <c r="AG17" s="100">
        <f t="shared" si="57"/>
        <v>8420.4760530853637</v>
      </c>
      <c r="AH17" s="100">
        <f t="shared" si="57"/>
        <v>9359.5279582179155</v>
      </c>
      <c r="AI17" s="100">
        <f t="shared" si="57"/>
        <v>-50904.450805509114</v>
      </c>
      <c r="AJ17" s="100">
        <f t="shared" si="57"/>
        <v>10906.855650788853</v>
      </c>
      <c r="AK17" s="100">
        <f t="shared" si="57"/>
        <v>11681.571626215855</v>
      </c>
      <c r="AL17" s="100">
        <f t="shared" si="57"/>
        <v>12457.941901581409</v>
      </c>
      <c r="AM17" s="100">
        <f t="shared" ref="AM17:BJ17" si="58">AM15+AM9</f>
        <v>259653.51685567084</v>
      </c>
      <c r="AN17" s="100">
        <f t="shared" si="58"/>
        <v>134020.13240783167</v>
      </c>
      <c r="AO17" s="100">
        <f t="shared" si="58"/>
        <v>7399.233419959317</v>
      </c>
      <c r="AP17" s="100">
        <f t="shared" si="58"/>
        <v>-53930.544355632432</v>
      </c>
      <c r="AQ17" s="100">
        <f t="shared" si="58"/>
        <v>9310.0966080354301</v>
      </c>
      <c r="AR17" s="100">
        <f t="shared" si="58"/>
        <v>10107.31418413447</v>
      </c>
      <c r="AS17" s="100">
        <f t="shared" si="58"/>
        <v>10894.801172093896</v>
      </c>
      <c r="AT17" s="100">
        <f t="shared" si="58"/>
        <v>11683.810182523081</v>
      </c>
      <c r="AU17" s="100">
        <f t="shared" si="58"/>
        <v>-49911.524901874713</v>
      </c>
      <c r="AV17" s="100">
        <f t="shared" si="58"/>
        <v>13266.738321040999</v>
      </c>
      <c r="AW17" s="100">
        <f t="shared" si="58"/>
        <v>14060.583499342567</v>
      </c>
      <c r="AX17" s="100">
        <f t="shared" si="58"/>
        <v>14856.048800589972</v>
      </c>
      <c r="AY17" s="100">
        <f t="shared" si="58"/>
        <v>269472.56254011288</v>
      </c>
      <c r="AZ17" s="100">
        <f t="shared" si="58"/>
        <v>140013.39946504758</v>
      </c>
      <c r="BA17" s="100">
        <f t="shared" si="58"/>
        <v>9903.0289860662269</v>
      </c>
      <c r="BB17" s="100">
        <f t="shared" si="58"/>
        <v>-53181.322554889972</v>
      </c>
      <c r="BC17" s="100">
        <f t="shared" si="58"/>
        <v>11508.642257036641</v>
      </c>
      <c r="BD17" s="100">
        <f t="shared" si="58"/>
        <v>12313.995707702328</v>
      </c>
      <c r="BE17" s="100">
        <f t="shared" si="58"/>
        <v>13120.91584699504</v>
      </c>
      <c r="BF17" s="100">
        <f t="shared" si="58"/>
        <v>13929.5707966355</v>
      </c>
      <c r="BG17" s="100">
        <f t="shared" si="58"/>
        <v>-49067.106647479908</v>
      </c>
      <c r="BH17" s="100">
        <f t="shared" si="58"/>
        <v>15551.691665394957</v>
      </c>
      <c r="BI17" s="100">
        <f t="shared" si="58"/>
        <v>16365.329879581612</v>
      </c>
      <c r="BJ17" s="100">
        <f t="shared" si="58"/>
        <v>17180.555494303735</v>
      </c>
    </row>
    <row r="18" spans="1:62" s="6" customFormat="1" ht="12">
      <c r="A18" s="19" t="s">
        <v>172</v>
      </c>
      <c r="B18" s="104">
        <f>BJ18</f>
        <v>1645808.4317069652</v>
      </c>
      <c r="C18" s="100">
        <f>C17</f>
        <v>223467.65459999995</v>
      </c>
      <c r="D18" s="100">
        <f>C18+D17</f>
        <v>335031.91529799998</v>
      </c>
      <c r="E18" s="100">
        <f t="shared" ref="E18:AL18" si="59">D18+E17</f>
        <v>328298.49627950002</v>
      </c>
      <c r="F18" s="100">
        <f t="shared" si="59"/>
        <v>265522.96992666298</v>
      </c>
      <c r="G18" s="100">
        <f t="shared" si="59"/>
        <v>260566.72268451389</v>
      </c>
      <c r="H18" s="100">
        <f t="shared" si="59"/>
        <v>256501.67769925942</v>
      </c>
      <c r="I18" s="100">
        <f t="shared" si="59"/>
        <v>253329.71847654192</v>
      </c>
      <c r="J18" s="100">
        <f t="shared" si="59"/>
        <v>251052.53298076766</v>
      </c>
      <c r="K18" s="100">
        <f t="shared" si="59"/>
        <v>192026.86751315679</v>
      </c>
      <c r="L18" s="100">
        <f t="shared" si="59"/>
        <v>191544.71125530696</v>
      </c>
      <c r="M18" s="100">
        <f t="shared" si="59"/>
        <v>191962.71948181256</v>
      </c>
      <c r="N18" s="100">
        <f t="shared" si="59"/>
        <v>193282.79810388418</v>
      </c>
      <c r="O18" s="100">
        <f t="shared" si="59"/>
        <v>434162.28059143235</v>
      </c>
      <c r="P18" s="100">
        <f t="shared" si="59"/>
        <v>556724.24100863235</v>
      </c>
      <c r="Q18" s="100">
        <f t="shared" si="59"/>
        <v>559116.91148891125</v>
      </c>
      <c r="R18" s="100">
        <f t="shared" si="59"/>
        <v>503757.38931409497</v>
      </c>
      <c r="S18" s="100">
        <f t="shared" si="59"/>
        <v>507970.46699502826</v>
      </c>
      <c r="T18" s="100">
        <f t="shared" si="59"/>
        <v>513096.44574516377</v>
      </c>
      <c r="U18" s="100">
        <f t="shared" si="59"/>
        <v>519137.16331717465</v>
      </c>
      <c r="V18" s="100">
        <f t="shared" si="59"/>
        <v>526094.56205811538</v>
      </c>
      <c r="W18" s="100">
        <f t="shared" si="59"/>
        <v>474572.01354834996</v>
      </c>
      <c r="X18" s="100">
        <f t="shared" si="59"/>
        <v>483368.12010330014</v>
      </c>
      <c r="Y18" s="100">
        <f t="shared" si="59"/>
        <v>493024.39090929687</v>
      </c>
      <c r="Z18" s="100">
        <f t="shared" si="59"/>
        <v>503438.33903480857</v>
      </c>
      <c r="AA18" s="100">
        <f t="shared" si="59"/>
        <v>753420.43481145974</v>
      </c>
      <c r="AB18" s="100">
        <f t="shared" si="59"/>
        <v>881481.83333950443</v>
      </c>
      <c r="AC18" s="100">
        <f t="shared" si="59"/>
        <v>886164.8383278494</v>
      </c>
      <c r="AD18" s="100">
        <f t="shared" si="59"/>
        <v>831333.75450050225</v>
      </c>
      <c r="AE18" s="100">
        <f t="shared" si="59"/>
        <v>837881.71716060757</v>
      </c>
      <c r="AF18" s="100">
        <f t="shared" si="59"/>
        <v>845365.03969236359</v>
      </c>
      <c r="AG18" s="100">
        <f t="shared" si="59"/>
        <v>853785.515745449</v>
      </c>
      <c r="AH18" s="100">
        <f t="shared" si="59"/>
        <v>863145.04370366689</v>
      </c>
      <c r="AI18" s="100">
        <f t="shared" si="59"/>
        <v>812240.59289815777</v>
      </c>
      <c r="AJ18" s="100">
        <f t="shared" si="59"/>
        <v>823147.44854894665</v>
      </c>
      <c r="AK18" s="100">
        <f t="shared" si="59"/>
        <v>834829.02017516247</v>
      </c>
      <c r="AL18" s="100">
        <f t="shared" si="59"/>
        <v>847286.96207674383</v>
      </c>
      <c r="AM18" s="100">
        <f t="shared" ref="AM18" si="60">AL18+AM17</f>
        <v>1106940.4789324147</v>
      </c>
      <c r="AN18" s="100">
        <f t="shared" ref="AN18" si="61">AM18+AN17</f>
        <v>1240960.6113402464</v>
      </c>
      <c r="AO18" s="100">
        <f t="shared" ref="AO18" si="62">AN18+AO17</f>
        <v>1248359.8447602056</v>
      </c>
      <c r="AP18" s="100">
        <f t="shared" ref="AP18" si="63">AO18+AP17</f>
        <v>1194429.3004045731</v>
      </c>
      <c r="AQ18" s="100">
        <f t="shared" ref="AQ18" si="64">AP18+AQ17</f>
        <v>1203739.3970126086</v>
      </c>
      <c r="AR18" s="100">
        <f t="shared" ref="AR18" si="65">AQ18+AR17</f>
        <v>1213846.711196743</v>
      </c>
      <c r="AS18" s="100">
        <f t="shared" ref="AS18" si="66">AR18+AS17</f>
        <v>1224741.5123688369</v>
      </c>
      <c r="AT18" s="100">
        <f t="shared" ref="AT18" si="67">AS18+AT17</f>
        <v>1236425.3225513599</v>
      </c>
      <c r="AU18" s="100">
        <f t="shared" ref="AU18" si="68">AT18+AU17</f>
        <v>1186513.7976494851</v>
      </c>
      <c r="AV18" s="100">
        <f t="shared" ref="AV18" si="69">AU18+AV17</f>
        <v>1199780.535970526</v>
      </c>
      <c r="AW18" s="100">
        <f t="shared" ref="AW18" si="70">AV18+AW17</f>
        <v>1213841.1194698687</v>
      </c>
      <c r="AX18" s="100">
        <f t="shared" ref="AX18" si="71">AW18+AX17</f>
        <v>1228697.1682704587</v>
      </c>
      <c r="AY18" s="100">
        <f t="shared" ref="AY18" si="72">AX18+AY17</f>
        <v>1498169.7308105715</v>
      </c>
      <c r="AZ18" s="100">
        <f t="shared" ref="AZ18" si="73">AY18+AZ17</f>
        <v>1638183.130275619</v>
      </c>
      <c r="BA18" s="100">
        <f t="shared" ref="BA18" si="74">AZ18+BA17</f>
        <v>1648086.1592616851</v>
      </c>
      <c r="BB18" s="100">
        <f t="shared" ref="BB18" si="75">BA18+BB17</f>
        <v>1594904.836706795</v>
      </c>
      <c r="BC18" s="100">
        <f t="shared" ref="BC18" si="76">BB18+BC17</f>
        <v>1606413.4789638317</v>
      </c>
      <c r="BD18" s="100">
        <f t="shared" ref="BD18" si="77">BC18+BD17</f>
        <v>1618727.474671534</v>
      </c>
      <c r="BE18" s="100">
        <f t="shared" ref="BE18" si="78">BD18+BE17</f>
        <v>1631848.3905185291</v>
      </c>
      <c r="BF18" s="100">
        <f t="shared" ref="BF18" si="79">BE18+BF17</f>
        <v>1645777.9613151646</v>
      </c>
      <c r="BG18" s="100">
        <f t="shared" ref="BG18" si="80">BF18+BG17</f>
        <v>1596710.8546676848</v>
      </c>
      <c r="BH18" s="100">
        <f t="shared" ref="BH18" si="81">BG18+BH17</f>
        <v>1612262.5463330797</v>
      </c>
      <c r="BI18" s="100">
        <f t="shared" ref="BI18" si="82">BH18+BI17</f>
        <v>1628627.8762126614</v>
      </c>
      <c r="BJ18" s="100">
        <f t="shared" ref="BJ18" si="83">BI18+BJ17</f>
        <v>1645808.4317069652</v>
      </c>
    </row>
    <row r="45" spans="1:7" ht="18">
      <c r="A45" s="32" t="s">
        <v>35</v>
      </c>
    </row>
    <row r="47" spans="1:7">
      <c r="A47" s="62" t="s">
        <v>13</v>
      </c>
      <c r="B47" s="63" t="s">
        <v>0</v>
      </c>
      <c r="C47" s="63" t="s">
        <v>154</v>
      </c>
      <c r="D47" s="63" t="s">
        <v>155</v>
      </c>
      <c r="E47" s="63" t="s">
        <v>156</v>
      </c>
      <c r="F47" s="63" t="s">
        <v>326</v>
      </c>
      <c r="G47" s="63" t="s">
        <v>327</v>
      </c>
    </row>
    <row r="48" spans="1:7">
      <c r="A48" s="19" t="str">
        <f t="shared" ref="A48:A57" si="84">A5</f>
        <v>Виручка</v>
      </c>
      <c r="B48" s="104">
        <f t="shared" ref="B48:B54" si="85">SUM(C48:G48)</f>
        <v>53417833.094621696</v>
      </c>
      <c r="C48" s="100">
        <f>SUM(C5:N5)</f>
        <v>10215513.837292837</v>
      </c>
      <c r="D48" s="100">
        <f>SUM(O5:Z5)</f>
        <v>10526228.466017265</v>
      </c>
      <c r="E48" s="100">
        <f>SUM(AA5:AL5)</f>
        <v>10846393.777501376</v>
      </c>
      <c r="F48" s="100">
        <f t="shared" ref="F48:G48" si="86">SUM(AB5:AM5)</f>
        <v>10896145.113883827</v>
      </c>
      <c r="G48" s="100">
        <f t="shared" si="86"/>
        <v>10933551.899926385</v>
      </c>
    </row>
    <row r="49" spans="1:7">
      <c r="A49" s="19" t="str">
        <f t="shared" si="84"/>
        <v>Витрати</v>
      </c>
      <c r="B49" s="104">
        <f t="shared" si="85"/>
        <v>51067509.691091605</v>
      </c>
      <c r="C49" s="100">
        <f>SUM(C6:N6)</f>
        <v>9834438.0455869492</v>
      </c>
      <c r="D49" s="100">
        <f>SUM(O6:Z6)</f>
        <v>10049419.528585698</v>
      </c>
      <c r="E49" s="100">
        <f>SUM(AA6:AL6)</f>
        <v>10357065.379548475</v>
      </c>
      <c r="F49" s="100">
        <f t="shared" ref="F49:G49" si="87">SUM(AB6:AM6)</f>
        <v>10397156.299980905</v>
      </c>
      <c r="G49" s="100">
        <f t="shared" si="87"/>
        <v>10429430.437389575</v>
      </c>
    </row>
    <row r="50" spans="1:7">
      <c r="A50" s="19" t="str">
        <f t="shared" si="84"/>
        <v>Податки</v>
      </c>
      <c r="B50" s="104">
        <f t="shared" si="85"/>
        <v>394165.91933164292</v>
      </c>
      <c r="C50" s="100">
        <f>SUM(C7:N7)</f>
        <v>71485.993601999988</v>
      </c>
      <c r="D50" s="100">
        <f>SUM(O7:Z7)</f>
        <v>75955.096500641695</v>
      </c>
      <c r="E50" s="100">
        <f>SUM(AA7:AL7)</f>
        <v>80390.274910964319</v>
      </c>
      <c r="F50" s="100">
        <f t="shared" ref="F50:G50" si="88">SUM(AB7:AM7)</f>
        <v>82513.269781968658</v>
      </c>
      <c r="G50" s="100">
        <f t="shared" si="88"/>
        <v>83821.28453606824</v>
      </c>
    </row>
    <row r="51" spans="1:7">
      <c r="A51" s="19" t="str">
        <f t="shared" si="84"/>
        <v>Кредит</v>
      </c>
      <c r="B51" s="104">
        <f t="shared" si="85"/>
        <v>395871.70000000007</v>
      </c>
      <c r="C51" s="100">
        <f>SUM(C8:N8)</f>
        <v>116307.00000000001</v>
      </c>
      <c r="D51" s="100">
        <f>SUM(O8:Z8)</f>
        <v>90698.300000000017</v>
      </c>
      <c r="E51" s="100">
        <f>SUM(AA8:AL8)</f>
        <v>65089.499999999993</v>
      </c>
      <c r="F51" s="100">
        <f t="shared" ref="F51:G54" si="89">SUM(AB8:AM8)</f>
        <v>62955.499999999993</v>
      </c>
      <c r="G51" s="100">
        <f t="shared" si="89"/>
        <v>60821.399999999994</v>
      </c>
    </row>
    <row r="52" spans="1:7">
      <c r="A52" s="19" t="str">
        <f t="shared" si="84"/>
        <v>Амортизація</v>
      </c>
      <c r="B52" s="104">
        <f t="shared" si="85"/>
        <v>553036.5</v>
      </c>
      <c r="C52" s="100">
        <f t="shared" ref="C52:C54" si="90">SUM(C9:N9)</f>
        <v>103108.5</v>
      </c>
      <c r="D52" s="100">
        <f t="shared" ref="D52:D54" si="91">SUM(O9:Z9)</f>
        <v>112482</v>
      </c>
      <c r="E52" s="100">
        <f t="shared" ref="E52:E54" si="92">SUM(AA9:AL9)</f>
        <v>112482</v>
      </c>
      <c r="F52" s="100">
        <f t="shared" si="89"/>
        <v>112482</v>
      </c>
      <c r="G52" s="100">
        <f t="shared" si="89"/>
        <v>112482</v>
      </c>
    </row>
    <row r="53" spans="1:7">
      <c r="A53" s="110" t="str">
        <f t="shared" si="84"/>
        <v>Прибуток до вирахування податків, % та амортизації (EBITDA)</v>
      </c>
      <c r="B53" s="106">
        <f t="shared" si="85"/>
        <v>2350323.4035300836</v>
      </c>
      <c r="C53" s="111">
        <f>SUM(C10:N10)</f>
        <v>381075.79170588416</v>
      </c>
      <c r="D53" s="111">
        <f t="shared" si="91"/>
        <v>476808.93743156607</v>
      </c>
      <c r="E53" s="111">
        <f t="shared" si="92"/>
        <v>489328.39795289957</v>
      </c>
      <c r="F53" s="111">
        <f t="shared" si="89"/>
        <v>498988.8139029236</v>
      </c>
      <c r="G53" s="111">
        <f t="shared" si="89"/>
        <v>504121.4625368102</v>
      </c>
    </row>
    <row r="54" spans="1:7">
      <c r="A54" s="110" t="str">
        <f t="shared" si="84"/>
        <v>Прибуток</v>
      </c>
      <c r="B54" s="35">
        <f t="shared" si="85"/>
        <v>1007249.2841984408</v>
      </c>
      <c r="C54" s="111">
        <f t="shared" si="90"/>
        <v>90174.298103884183</v>
      </c>
      <c r="D54" s="111">
        <f t="shared" si="91"/>
        <v>197673.54093092447</v>
      </c>
      <c r="E54" s="111">
        <f t="shared" si="92"/>
        <v>231366.62304193521</v>
      </c>
      <c r="F54" s="111">
        <f t="shared" si="89"/>
        <v>241038.04412095493</v>
      </c>
      <c r="G54" s="111">
        <f t="shared" si="89"/>
        <v>246996.77800074191</v>
      </c>
    </row>
    <row r="55" spans="1:7">
      <c r="A55" s="19" t="str">
        <f t="shared" si="84"/>
        <v>Прибуток накопиченим ітогом</v>
      </c>
      <c r="B55" s="104">
        <f>E55</f>
        <v>519214.46207674389</v>
      </c>
      <c r="C55" s="100">
        <f>C54</f>
        <v>90174.298103884183</v>
      </c>
      <c r="D55" s="100">
        <f>D54+C55</f>
        <v>287847.83903480868</v>
      </c>
      <c r="E55" s="100">
        <f>E54+D55</f>
        <v>519214.46207674389</v>
      </c>
      <c r="F55" s="100">
        <f t="shared" ref="F55:G55" si="93">F54+E55</f>
        <v>760252.50619769888</v>
      </c>
      <c r="G55" s="100">
        <f t="shared" si="93"/>
        <v>1007249.2841984408</v>
      </c>
    </row>
    <row r="56" spans="1:7">
      <c r="A56" s="19">
        <f t="shared" si="84"/>
        <v>0</v>
      </c>
      <c r="B56" s="106">
        <f>SUM(C56:G56)</f>
        <v>0</v>
      </c>
      <c r="C56" s="111">
        <f>SUM(C13:N13)</f>
        <v>0</v>
      </c>
      <c r="D56" s="111">
        <f>SUM(O13:Z13)</f>
        <v>0</v>
      </c>
      <c r="E56" s="111">
        <f>SUM(AA13:AL13)</f>
        <v>0</v>
      </c>
      <c r="F56" s="111">
        <f t="shared" ref="F56:G56" si="94">SUM(AB13:AM13)</f>
        <v>0</v>
      </c>
      <c r="G56" s="111">
        <f t="shared" si="94"/>
        <v>0</v>
      </c>
    </row>
    <row r="57" spans="1:7">
      <c r="A57" s="110">
        <f t="shared" si="84"/>
        <v>0</v>
      </c>
      <c r="B57" s="106">
        <f>SUM(C57:G57)</f>
        <v>4</v>
      </c>
      <c r="C57" s="111">
        <f>SUM(C14:N14)</f>
        <v>0</v>
      </c>
      <c r="D57" s="111">
        <f>SUM(O14:Z14)</f>
        <v>0</v>
      </c>
      <c r="E57" s="111">
        <f>SUM(AA14:AL14)</f>
        <v>0</v>
      </c>
      <c r="F57" s="111">
        <f t="shared" ref="F57:G57" si="95">SUM(AB14:AM14)</f>
        <v>1</v>
      </c>
      <c r="G57" s="111">
        <f t="shared" si="95"/>
        <v>3</v>
      </c>
    </row>
    <row r="58" spans="1:7">
      <c r="A58" s="110" t="str">
        <f t="shared" ref="A58:A61" si="96">A15</f>
        <v>Чистий прибуток</v>
      </c>
      <c r="B58" s="106">
        <f>SUM(C58:G58)</f>
        <v>1007249.2841984408</v>
      </c>
      <c r="C58" s="111">
        <f>SUM(C15:N15)</f>
        <v>90174.298103884183</v>
      </c>
      <c r="D58" s="111">
        <f>SUM(O15:Z15)</f>
        <v>197673.54093092447</v>
      </c>
      <c r="E58" s="111">
        <f>SUM(AA15:AL15)</f>
        <v>231366.62304193521</v>
      </c>
      <c r="F58" s="111">
        <f t="shared" ref="F58:G58" si="97">SUM(AB15:AM15)</f>
        <v>241038.04412095493</v>
      </c>
      <c r="G58" s="111">
        <f t="shared" si="97"/>
        <v>246996.77800074191</v>
      </c>
    </row>
    <row r="59" spans="1:7">
      <c r="A59" s="19" t="str">
        <f t="shared" si="96"/>
        <v>Чистий прибуток накопиченим ітогом</v>
      </c>
      <c r="B59" s="104">
        <f>E59</f>
        <v>519214.46207674389</v>
      </c>
      <c r="C59" s="100">
        <f>C58</f>
        <v>90174.298103884183</v>
      </c>
      <c r="D59" s="100">
        <f>D58+C59</f>
        <v>287847.83903480868</v>
      </c>
      <c r="E59" s="100">
        <f>E58+D59</f>
        <v>519214.46207674389</v>
      </c>
      <c r="F59" s="100">
        <f t="shared" ref="F59:G59" si="98">F58+E59</f>
        <v>760252.50619769888</v>
      </c>
      <c r="G59" s="100">
        <f t="shared" si="98"/>
        <v>1007249.2841984408</v>
      </c>
    </row>
    <row r="60" spans="1:7">
      <c r="A60" s="19" t="str">
        <f t="shared" si="96"/>
        <v>Читсий прибуток+амортизація</v>
      </c>
      <c r="B60" s="104">
        <f>E60</f>
        <v>343848.62304193521</v>
      </c>
      <c r="C60" s="100">
        <f>C58+C52</f>
        <v>193282.79810388418</v>
      </c>
      <c r="D60" s="100">
        <f>D58+D52</f>
        <v>310155.54093092447</v>
      </c>
      <c r="E60" s="100">
        <f>E58+E52</f>
        <v>343848.62304193521</v>
      </c>
      <c r="F60" s="100">
        <f t="shared" ref="F60:G60" si="99">F58+F52</f>
        <v>353520.04412095493</v>
      </c>
      <c r="G60" s="100">
        <f t="shared" si="99"/>
        <v>359478.77800074191</v>
      </c>
    </row>
    <row r="61" spans="1:7">
      <c r="A61" s="19" t="str">
        <f t="shared" si="96"/>
        <v>Чистий прибуток+амортизація накопиченим ітогом</v>
      </c>
      <c r="B61" s="104">
        <f>E61</f>
        <v>847286.96207674383</v>
      </c>
      <c r="C61" s="100">
        <f>C60</f>
        <v>193282.79810388418</v>
      </c>
      <c r="D61" s="100">
        <f>C61+D60</f>
        <v>503438.33903480868</v>
      </c>
      <c r="E61" s="100">
        <f>D61+E60</f>
        <v>847286.96207674383</v>
      </c>
      <c r="F61" s="100">
        <f t="shared" ref="F61:G61" si="100">E61+F60</f>
        <v>1200807.0061976989</v>
      </c>
      <c r="G61" s="100">
        <f t="shared" si="100"/>
        <v>1560285.7841984408</v>
      </c>
    </row>
  </sheetData>
  <mergeCells count="5">
    <mergeCell ref="C3:N3"/>
    <mergeCell ref="O3:Z3"/>
    <mergeCell ref="AA3:AL3"/>
    <mergeCell ref="AM3:AX3"/>
    <mergeCell ref="AY3:BJ3"/>
  </mergeCells>
  <phoneticPr fontId="4" type="noConversion"/>
  <conditionalFormatting sqref="C5:BJ18">
    <cfRule type="containsBlanks" dxfId="90" priority="1">
      <formula>LEN(TRIM(C5))=0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K118"/>
  <sheetViews>
    <sheetView zoomScale="90" zoomScaleNormal="90" workbookViewId="0">
      <pane xSplit="1" ySplit="5" topLeftCell="G84" activePane="bottomRight" state="frozenSplit"/>
      <selection pane="topRight" activeCell="C1" sqref="C1"/>
      <selection pane="bottomLeft" activeCell="A4" sqref="A4"/>
      <selection pane="bottomRight" activeCell="AY42" sqref="AY42"/>
    </sheetView>
  </sheetViews>
  <sheetFormatPr baseColWidth="10" defaultColWidth="8.6640625" defaultRowHeight="13"/>
  <cols>
    <col min="1" max="1" width="67.33203125" bestFit="1" customWidth="1"/>
    <col min="2" max="2" width="19" bestFit="1" customWidth="1"/>
    <col min="3" max="3" width="12.6640625" bestFit="1" customWidth="1"/>
    <col min="4" max="4" width="13.6640625" bestFit="1" customWidth="1"/>
    <col min="5" max="7" width="14.6640625" bestFit="1" customWidth="1"/>
    <col min="8" max="11" width="11.33203125" bestFit="1" customWidth="1"/>
    <col min="12" max="23" width="12.6640625" bestFit="1" customWidth="1"/>
    <col min="24" max="61" width="13.6640625" bestFit="1" customWidth="1"/>
    <col min="62" max="62" width="14.5" bestFit="1" customWidth="1"/>
  </cols>
  <sheetData>
    <row r="1" spans="1:62" ht="23">
      <c r="A1" s="44" t="s">
        <v>256</v>
      </c>
      <c r="B1" s="102" t="s">
        <v>262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</row>
    <row r="2" spans="1:6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</row>
    <row r="3" spans="1:62" ht="12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</row>
    <row r="4" spans="1:62" ht="10.5" customHeight="1">
      <c r="A4" s="15"/>
      <c r="B4" s="15"/>
      <c r="C4" s="430" t="s">
        <v>30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1" t="s">
        <v>31</v>
      </c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2" t="s">
        <v>32</v>
      </c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28"/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9"/>
      <c r="AZ4" s="429"/>
      <c r="BA4" s="429"/>
      <c r="BB4" s="429"/>
      <c r="BC4" s="429"/>
      <c r="BD4" s="429"/>
      <c r="BE4" s="429"/>
      <c r="BF4" s="429"/>
      <c r="BG4" s="429"/>
      <c r="BH4" s="429"/>
      <c r="BI4" s="429"/>
      <c r="BJ4" s="429"/>
    </row>
    <row r="5" spans="1:62" ht="36.75" customHeight="1">
      <c r="A5" s="64" t="s">
        <v>261</v>
      </c>
      <c r="B5" s="65" t="s">
        <v>250</v>
      </c>
      <c r="C5" s="65">
        <f>Доходи!C4</f>
        <v>44562</v>
      </c>
      <c r="D5" s="65">
        <f>Доходи!D4</f>
        <v>44593</v>
      </c>
      <c r="E5" s="65">
        <f>Доходи!E4</f>
        <v>44621</v>
      </c>
      <c r="F5" s="65">
        <f>Доходи!F4</f>
        <v>44652</v>
      </c>
      <c r="G5" s="65">
        <f>Доходи!G4</f>
        <v>44682</v>
      </c>
      <c r="H5" s="65">
        <f>Доходи!H4</f>
        <v>44713</v>
      </c>
      <c r="I5" s="65">
        <f>Доходи!I4</f>
        <v>44743</v>
      </c>
      <c r="J5" s="65">
        <f>Доходи!J4</f>
        <v>44774</v>
      </c>
      <c r="K5" s="65">
        <f>Доходи!K4</f>
        <v>44805</v>
      </c>
      <c r="L5" s="65">
        <f>Доходи!L4</f>
        <v>44835</v>
      </c>
      <c r="M5" s="65">
        <f>Доходи!M4</f>
        <v>44866</v>
      </c>
      <c r="N5" s="65">
        <f>Доходи!N4</f>
        <v>44896</v>
      </c>
      <c r="O5" s="65">
        <f>Доходи!O4</f>
        <v>44927</v>
      </c>
      <c r="P5" s="65">
        <f>Доходи!P4</f>
        <v>44958</v>
      </c>
      <c r="Q5" s="65">
        <f>Доходи!Q4</f>
        <v>44986</v>
      </c>
      <c r="R5" s="65">
        <f>Доходи!R4</f>
        <v>45017</v>
      </c>
      <c r="S5" s="65">
        <f>Доходи!S4</f>
        <v>45047</v>
      </c>
      <c r="T5" s="65">
        <f>Доходи!T4</f>
        <v>45078</v>
      </c>
      <c r="U5" s="65">
        <f>Доходи!U4</f>
        <v>45108</v>
      </c>
      <c r="V5" s="65">
        <f>Доходи!V4</f>
        <v>45139</v>
      </c>
      <c r="W5" s="65">
        <f>Доходи!W4</f>
        <v>45170</v>
      </c>
      <c r="X5" s="65">
        <f>Доходи!X4</f>
        <v>45200</v>
      </c>
      <c r="Y5" s="65">
        <f>Доходи!Y4</f>
        <v>45231</v>
      </c>
      <c r="Z5" s="65">
        <f>Доходи!Z4</f>
        <v>45261</v>
      </c>
      <c r="AA5" s="65">
        <f>Доходи!AA4</f>
        <v>45292</v>
      </c>
      <c r="AB5" s="65">
        <f>Доходи!AB4</f>
        <v>45323</v>
      </c>
      <c r="AC5" s="65">
        <f>Доходи!AC4</f>
        <v>45352</v>
      </c>
      <c r="AD5" s="65">
        <f>Доходи!AD4</f>
        <v>45383</v>
      </c>
      <c r="AE5" s="65">
        <f>Доходи!AE4</f>
        <v>45413</v>
      </c>
      <c r="AF5" s="65">
        <f>Доходи!AF4</f>
        <v>45444</v>
      </c>
      <c r="AG5" s="65">
        <f>Доходи!AG4</f>
        <v>45474</v>
      </c>
      <c r="AH5" s="65">
        <f>Доходи!AH4</f>
        <v>45505</v>
      </c>
      <c r="AI5" s="65">
        <f>Доходи!AI4</f>
        <v>45536</v>
      </c>
      <c r="AJ5" s="65">
        <f>Доходи!AJ4</f>
        <v>45566</v>
      </c>
      <c r="AK5" s="65">
        <f>Доходи!AK4</f>
        <v>45597</v>
      </c>
      <c r="AL5" s="65">
        <f>Доходи!AL4</f>
        <v>45627</v>
      </c>
      <c r="AM5" s="65">
        <f>Доходи!AM4</f>
        <v>45658</v>
      </c>
      <c r="AN5" s="65">
        <f>Доходи!AN4</f>
        <v>45689</v>
      </c>
      <c r="AO5" s="65">
        <f>Доходи!AO4</f>
        <v>45717</v>
      </c>
      <c r="AP5" s="65">
        <f>Доходи!AP4</f>
        <v>45748</v>
      </c>
      <c r="AQ5" s="65">
        <f>Доходи!AQ4</f>
        <v>45778</v>
      </c>
      <c r="AR5" s="65">
        <f>Доходи!AR4</f>
        <v>45809</v>
      </c>
      <c r="AS5" s="65">
        <f>Доходи!AS4</f>
        <v>45839</v>
      </c>
      <c r="AT5" s="65">
        <f>Доходи!AT4</f>
        <v>45870</v>
      </c>
      <c r="AU5" s="65">
        <f>Доходи!AU4</f>
        <v>45901</v>
      </c>
      <c r="AV5" s="65">
        <f>Доходи!AV4</f>
        <v>45931</v>
      </c>
      <c r="AW5" s="65">
        <f>Доходи!AW4</f>
        <v>45962</v>
      </c>
      <c r="AX5" s="65">
        <f>Доходи!AX4</f>
        <v>45992</v>
      </c>
      <c r="AY5" s="65">
        <f>Доходи!AY4</f>
        <v>46023</v>
      </c>
      <c r="AZ5" s="65">
        <f>Доходи!AZ4</f>
        <v>46054</v>
      </c>
      <c r="BA5" s="65">
        <f>Доходи!BA4</f>
        <v>46082</v>
      </c>
      <c r="BB5" s="65">
        <f>Доходи!BB4</f>
        <v>46113</v>
      </c>
      <c r="BC5" s="65">
        <f>Доходи!BC4</f>
        <v>46143</v>
      </c>
      <c r="BD5" s="65">
        <f>Доходи!BD4</f>
        <v>46174</v>
      </c>
      <c r="BE5" s="65">
        <f>Доходи!BE4</f>
        <v>46204</v>
      </c>
      <c r="BF5" s="65">
        <f>Доходи!BF4</f>
        <v>46235</v>
      </c>
      <c r="BG5" s="65">
        <f>Доходи!BG4</f>
        <v>46266</v>
      </c>
      <c r="BH5" s="65">
        <f>Доходи!BH4</f>
        <v>46296</v>
      </c>
      <c r="BI5" s="65">
        <f>Доходи!BI4</f>
        <v>46327</v>
      </c>
      <c r="BJ5" s="65">
        <f>Доходи!BJ4</f>
        <v>46357</v>
      </c>
    </row>
    <row r="6" spans="1:62" s="10" customFormat="1">
      <c r="A6" s="66" t="s">
        <v>252</v>
      </c>
      <c r="B6" s="111">
        <f>SUM(C6:BJ6)</f>
        <v>54280668.302217595</v>
      </c>
      <c r="C6" s="111">
        <f>Доходи!C17</f>
        <v>1540558.22</v>
      </c>
      <c r="D6" s="111">
        <f>Доходи!D17</f>
        <v>1158307.2116624999</v>
      </c>
      <c r="E6" s="111">
        <f>Доходи!E17</f>
        <v>774135.31979443762</v>
      </c>
      <c r="F6" s="111">
        <f>Доходи!F17</f>
        <v>620856.52647513885</v>
      </c>
      <c r="G6" s="111">
        <f>Доходи!G17</f>
        <v>778010.83473915816</v>
      </c>
      <c r="H6" s="111">
        <f>Доходи!H17</f>
        <v>779955.86182600609</v>
      </c>
      <c r="I6" s="111">
        <f>Доходи!I17</f>
        <v>781905.75148057123</v>
      </c>
      <c r="J6" s="111">
        <f>Доходи!J17</f>
        <v>783860.51585927256</v>
      </c>
      <c r="K6" s="111">
        <f>Доходи!K17</f>
        <v>628656.13371913671</v>
      </c>
      <c r="L6" s="111">
        <f>Доходи!L17</f>
        <v>787784.71756679309</v>
      </c>
      <c r="M6" s="111">
        <f>Доходи!M17</f>
        <v>789754.17936070997</v>
      </c>
      <c r="N6" s="111">
        <f>Доходи!N17</f>
        <v>791728.56480911165</v>
      </c>
      <c r="O6" s="111">
        <f>Доходи!O17</f>
        <v>1587415.7724422689</v>
      </c>
      <c r="P6" s="111">
        <f>Доходи!P17</f>
        <v>1193538.2339050306</v>
      </c>
      <c r="Q6" s="111">
        <f>Доходи!Q17</f>
        <v>797681.38632652874</v>
      </c>
      <c r="R6" s="111">
        <f>Доходи!R17</f>
        <v>639740.4718338761</v>
      </c>
      <c r="S6" s="111">
        <f>Доходи!S17</f>
        <v>801674.77876682591</v>
      </c>
      <c r="T6" s="111">
        <f>Доходи!T17</f>
        <v>803678.96571374277</v>
      </c>
      <c r="U6" s="111">
        <f>Доходи!U17</f>
        <v>805688.16312802711</v>
      </c>
      <c r="V6" s="111">
        <f>Доходи!V17</f>
        <v>807702.38353584707</v>
      </c>
      <c r="W6" s="111">
        <f>Доходи!W17</f>
        <v>647777.31159574946</v>
      </c>
      <c r="X6" s="111">
        <f>Доходи!X17</f>
        <v>811745.94359342335</v>
      </c>
      <c r="Y6" s="111">
        <f>Доходи!Y17</f>
        <v>813775.30845240678</v>
      </c>
      <c r="Z6" s="111">
        <f>Доходи!Z17</f>
        <v>815809.7467235378</v>
      </c>
      <c r="AA6" s="111">
        <f>Доходи!AA17</f>
        <v>1635698.5421806935</v>
      </c>
      <c r="AB6" s="111">
        <f>Доходи!AB17</f>
        <v>1229840.841402109</v>
      </c>
      <c r="AC6" s="111">
        <f>Доходи!AC17</f>
        <v>821943.62900374248</v>
      </c>
      <c r="AD6" s="111">
        <f>Доходи!AD17</f>
        <v>659198.79046100168</v>
      </c>
      <c r="AE6" s="111">
        <f>Доходи!AE17</f>
        <v>826058.48429644248</v>
      </c>
      <c r="AF6" s="111">
        <f>Доходи!AF17</f>
        <v>828123.63050718384</v>
      </c>
      <c r="AG6" s="111">
        <f>Доходи!AG17</f>
        <v>830193.93958345184</v>
      </c>
      <c r="AH6" s="111">
        <f>Доходи!AH17</f>
        <v>832269.42443241039</v>
      </c>
      <c r="AI6" s="111">
        <f>Доходи!AI17</f>
        <v>667480.07839479309</v>
      </c>
      <c r="AJ6" s="111">
        <f>Доходи!AJ17</f>
        <v>836435.97323847504</v>
      </c>
      <c r="AK6" s="111">
        <f>Доходи!AK17</f>
        <v>838527.06317157112</v>
      </c>
      <c r="AL6" s="111">
        <f>Доходи!AL17</f>
        <v>840623.38082950003</v>
      </c>
      <c r="AM6" s="111">
        <f>Доходи!AM17</f>
        <v>1685449.8785631475</v>
      </c>
      <c r="AN6" s="111">
        <f>Доходи!AN17</f>
        <v>1267247.6274446663</v>
      </c>
      <c r="AO6" s="111">
        <f>Доходи!AO17</f>
        <v>846943.83100885176</v>
      </c>
      <c r="AP6" s="111">
        <f>Доходи!AP17</f>
        <v>679248.9524690992</v>
      </c>
      <c r="AQ6" s="111">
        <f>Доходи!AQ17</f>
        <v>851183.84356283979</v>
      </c>
      <c r="AR6" s="111">
        <f>Доходи!AR17</f>
        <v>853311.80317174678</v>
      </c>
      <c r="AS6" s="111">
        <f>Доходи!AS17</f>
        <v>855445.08267967624</v>
      </c>
      <c r="AT6" s="111">
        <f>Доходи!AT17</f>
        <v>857583.6953863753</v>
      </c>
      <c r="AU6" s="111">
        <f>Доходи!AU17</f>
        <v>687782.12369987287</v>
      </c>
      <c r="AV6" s="111">
        <f>Доходи!AV17</f>
        <v>861876.97376140323</v>
      </c>
      <c r="AW6" s="111">
        <f>Доходи!AW17</f>
        <v>864031.66619580658</v>
      </c>
      <c r="AX6" s="111">
        <f>Доходи!AX17</f>
        <v>866191.74536129611</v>
      </c>
      <c r="AY6" s="111">
        <f>Доходи!AY17</f>
        <v>1736714.4494493986</v>
      </c>
      <c r="AZ6" s="111">
        <f>Доходи!AZ17</f>
        <v>1305792.1766797663</v>
      </c>
      <c r="BA6" s="111">
        <f>Доходи!BA17</f>
        <v>872704.43808097718</v>
      </c>
      <c r="BB6" s="111">
        <f>Доходи!BB17</f>
        <v>699908.95934094372</v>
      </c>
      <c r="BC6" s="111">
        <f>Доходи!BC17</f>
        <v>877073.41467411991</v>
      </c>
      <c r="BD6" s="111">
        <f>Доходи!BD17</f>
        <v>879266.09821080521</v>
      </c>
      <c r="BE6" s="111">
        <f>Доходи!BE17</f>
        <v>881464.2634563325</v>
      </c>
      <c r="BF6" s="111">
        <f>Доходи!BF17</f>
        <v>883667.92411497317</v>
      </c>
      <c r="BG6" s="111">
        <f>Доходи!BG17</f>
        <v>708701.67514020833</v>
      </c>
      <c r="BH6" s="111">
        <f>Доходи!BH17</f>
        <v>888091.78666007356</v>
      </c>
      <c r="BI6" s="111">
        <f>Доходи!BI17</f>
        <v>890312.01612672373</v>
      </c>
      <c r="BJ6" s="111">
        <f>Доходи!BJ17</f>
        <v>892537.79616704048</v>
      </c>
    </row>
    <row r="7" spans="1:62" s="10" customFormat="1">
      <c r="A7" s="66" t="s">
        <v>253</v>
      </c>
      <c r="B7" s="111">
        <f>SUM(C7:BJ7)</f>
        <v>52309412.270510629</v>
      </c>
      <c r="C7" s="111">
        <f>C8+C9</f>
        <v>1306420.1654000001</v>
      </c>
      <c r="D7" s="111">
        <f t="shared" ref="D7:AL7" si="0">D8+D9</f>
        <v>1036250.4509645</v>
      </c>
      <c r="E7" s="111">
        <f t="shared" si="0"/>
        <v>770554.03881293756</v>
      </c>
      <c r="F7" s="111">
        <f t="shared" si="0"/>
        <v>673495.2528279759</v>
      </c>
      <c r="G7" s="111">
        <f t="shared" si="0"/>
        <v>773008.08198130724</v>
      </c>
      <c r="H7" s="111">
        <f t="shared" si="0"/>
        <v>774239.70681126055</v>
      </c>
      <c r="I7" s="111">
        <f t="shared" si="0"/>
        <v>775474.41070328874</v>
      </c>
      <c r="J7" s="111">
        <f t="shared" si="0"/>
        <v>776712.20135504683</v>
      </c>
      <c r="K7" s="111">
        <f t="shared" si="0"/>
        <v>678434.09918674757</v>
      </c>
      <c r="L7" s="111">
        <f t="shared" si="0"/>
        <v>779197.07382464292</v>
      </c>
      <c r="M7" s="111">
        <f t="shared" si="0"/>
        <v>780444.17113420437</v>
      </c>
      <c r="N7" s="111">
        <f t="shared" si="0"/>
        <v>781694.38618704001</v>
      </c>
      <c r="O7" s="111">
        <f t="shared" si="0"/>
        <v>1337999.9899547207</v>
      </c>
      <c r="P7" s="111">
        <f t="shared" si="0"/>
        <v>1062617.7734878305</v>
      </c>
      <c r="Q7" s="111">
        <f t="shared" si="0"/>
        <v>787108.11584624986</v>
      </c>
      <c r="R7" s="111">
        <f t="shared" si="0"/>
        <v>687097.1940086924</v>
      </c>
      <c r="S7" s="111">
        <f t="shared" si="0"/>
        <v>789636.8010858926</v>
      </c>
      <c r="T7" s="111">
        <f t="shared" si="0"/>
        <v>790905.88696360728</v>
      </c>
      <c r="U7" s="111">
        <f t="shared" si="0"/>
        <v>792178.14555601624</v>
      </c>
      <c r="V7" s="111">
        <f t="shared" si="0"/>
        <v>793453.58479490632</v>
      </c>
      <c r="W7" s="111">
        <f t="shared" si="0"/>
        <v>692186.2601055149</v>
      </c>
      <c r="X7" s="111">
        <f t="shared" si="0"/>
        <v>796014.03703847318</v>
      </c>
      <c r="Y7" s="111">
        <f t="shared" si="0"/>
        <v>797361.13764641003</v>
      </c>
      <c r="Z7" s="111">
        <f t="shared" si="0"/>
        <v>798815.69859802607</v>
      </c>
      <c r="AA7" s="111">
        <f t="shared" si="0"/>
        <v>1379314.2464040422</v>
      </c>
      <c r="AB7" s="111">
        <f t="shared" si="0"/>
        <v>1095555.0428740643</v>
      </c>
      <c r="AC7" s="111">
        <f t="shared" si="0"/>
        <v>811214.02401539753</v>
      </c>
      <c r="AD7" s="111">
        <f t="shared" si="0"/>
        <v>708161.17428834888</v>
      </c>
      <c r="AE7" s="111">
        <f t="shared" si="0"/>
        <v>813819.62163633713</v>
      </c>
      <c r="AF7" s="111">
        <f t="shared" si="0"/>
        <v>815127.30797542783</v>
      </c>
      <c r="AG7" s="111">
        <f t="shared" si="0"/>
        <v>816438.26353036647</v>
      </c>
      <c r="AH7" s="111">
        <f t="shared" si="0"/>
        <v>817752.49647419248</v>
      </c>
      <c r="AI7" s="111">
        <f t="shared" si="0"/>
        <v>713405.0292003022</v>
      </c>
      <c r="AJ7" s="111">
        <f t="shared" si="0"/>
        <v>820727.41758768621</v>
      </c>
      <c r="AK7" s="111">
        <f t="shared" si="0"/>
        <v>822221.59154535527</v>
      </c>
      <c r="AL7" s="111">
        <f t="shared" si="0"/>
        <v>823719.43892791867</v>
      </c>
      <c r="AM7" s="111">
        <f t="shared" ref="AM7:BJ7" si="1">AM8+AM9</f>
        <v>1421528.1617074767</v>
      </c>
      <c r="AN7" s="111">
        <f t="shared" si="1"/>
        <v>1129137.1950368346</v>
      </c>
      <c r="AO7" s="111">
        <f t="shared" si="1"/>
        <v>835632.09758889244</v>
      </c>
      <c r="AP7" s="111">
        <f t="shared" si="1"/>
        <v>729444.79682473163</v>
      </c>
      <c r="AQ7" s="111">
        <f t="shared" si="1"/>
        <v>838316.94695480436</v>
      </c>
      <c r="AR7" s="111">
        <f t="shared" si="1"/>
        <v>839825.48898761231</v>
      </c>
      <c r="AS7" s="111">
        <f t="shared" si="1"/>
        <v>841349.18150758231</v>
      </c>
      <c r="AT7" s="111">
        <f t="shared" si="1"/>
        <v>842876.58520385227</v>
      </c>
      <c r="AU7" s="111">
        <f t="shared" si="1"/>
        <v>734848.14860174758</v>
      </c>
      <c r="AV7" s="111">
        <f t="shared" si="1"/>
        <v>845942.63544036227</v>
      </c>
      <c r="AW7" s="111">
        <f t="shared" si="1"/>
        <v>847481.28269646398</v>
      </c>
      <c r="AX7" s="111">
        <f t="shared" si="1"/>
        <v>849023.69656070613</v>
      </c>
      <c r="AY7" s="111">
        <f t="shared" si="1"/>
        <v>1465107.7869092857</v>
      </c>
      <c r="AZ7" s="111">
        <f t="shared" si="1"/>
        <v>1163822.4772147187</v>
      </c>
      <c r="BA7" s="111">
        <f t="shared" si="1"/>
        <v>861023.00909491093</v>
      </c>
      <c r="BB7" s="111">
        <f t="shared" si="1"/>
        <v>751489.6818958337</v>
      </c>
      <c r="BC7" s="111">
        <f t="shared" si="1"/>
        <v>864141.97241708322</v>
      </c>
      <c r="BD7" s="111">
        <f t="shared" si="1"/>
        <v>865707.20250310283</v>
      </c>
      <c r="BE7" s="111">
        <f t="shared" si="1"/>
        <v>867276.24760933744</v>
      </c>
      <c r="BF7" s="111">
        <f t="shared" si="1"/>
        <v>868849.15331833763</v>
      </c>
      <c r="BG7" s="111">
        <f t="shared" si="1"/>
        <v>757057.38178768824</v>
      </c>
      <c r="BH7" s="111">
        <f t="shared" si="1"/>
        <v>872006.49499467865</v>
      </c>
      <c r="BI7" s="111">
        <f t="shared" si="1"/>
        <v>873590.98624714208</v>
      </c>
      <c r="BJ7" s="111">
        <f t="shared" si="1"/>
        <v>875179.34067273675</v>
      </c>
    </row>
    <row r="8" spans="1:62" s="6" customFormat="1" ht="12">
      <c r="A8" s="19" t="s">
        <v>164</v>
      </c>
      <c r="B8" s="111">
        <f>SUM(C8:BJ8)</f>
        <v>51901760.984946817</v>
      </c>
      <c r="C8" s="100">
        <f>ОФР!C6</f>
        <v>1257366.29</v>
      </c>
      <c r="D8" s="100">
        <f>ОФР!D6</f>
        <v>1013818.3327624999</v>
      </c>
      <c r="E8" s="100">
        <f>ОФР!E6</f>
        <v>770554.03881293756</v>
      </c>
      <c r="F8" s="100">
        <f>ОФР!F6</f>
        <v>673495.2528279759</v>
      </c>
      <c r="G8" s="100">
        <f>ОФР!G6</f>
        <v>773008.08198130724</v>
      </c>
      <c r="H8" s="100">
        <f>ОФР!H6</f>
        <v>774239.70681126055</v>
      </c>
      <c r="I8" s="100">
        <f>ОФР!I6</f>
        <v>775474.41070328874</v>
      </c>
      <c r="J8" s="100">
        <f>ОФР!J6</f>
        <v>776712.20135504683</v>
      </c>
      <c r="K8" s="100">
        <f>ОФР!K6</f>
        <v>678434.09918674757</v>
      </c>
      <c r="L8" s="100">
        <f>ОФР!L6</f>
        <v>779197.07382464292</v>
      </c>
      <c r="M8" s="100">
        <f>ОФР!M6</f>
        <v>780444.17113420437</v>
      </c>
      <c r="N8" s="100">
        <f>ОФР!N6</f>
        <v>781694.38618704001</v>
      </c>
      <c r="O8" s="100">
        <f>ОФР!O6</f>
        <v>1287181.6035550151</v>
      </c>
      <c r="P8" s="100">
        <f>ОФР!P6</f>
        <v>1037771.5260791769</v>
      </c>
      <c r="Q8" s="100">
        <f>ОФР!Q6</f>
        <v>787108.11584624986</v>
      </c>
      <c r="R8" s="100">
        <f>ОФР!R6</f>
        <v>687097.1940086924</v>
      </c>
      <c r="S8" s="100">
        <f>ОФР!S6</f>
        <v>789636.8010858926</v>
      </c>
      <c r="T8" s="100">
        <f>ОФР!T6</f>
        <v>790905.88696360728</v>
      </c>
      <c r="U8" s="100">
        <f>ОФР!U6</f>
        <v>792178.14555601624</v>
      </c>
      <c r="V8" s="100">
        <f>ОФР!V6</f>
        <v>793453.58479490632</v>
      </c>
      <c r="W8" s="100">
        <f>ОФР!W6</f>
        <v>692186.2601055149</v>
      </c>
      <c r="X8" s="100">
        <f>ОФР!X6</f>
        <v>796014.03703847318</v>
      </c>
      <c r="Y8" s="100">
        <f>ОФР!Y6</f>
        <v>797299.0660060693</v>
      </c>
      <c r="Z8" s="100">
        <f>ОФР!Z6</f>
        <v>798587.30754608451</v>
      </c>
      <c r="AA8" s="100">
        <f>ОФР!AA6</f>
        <v>1326497.7253798994</v>
      </c>
      <c r="AB8" s="100">
        <f>ОФР!AB6</f>
        <v>1069501.6017337618</v>
      </c>
      <c r="AC8" s="100">
        <f>ОФР!AC6</f>
        <v>811214.02401539753</v>
      </c>
      <c r="AD8" s="100">
        <f>ОФР!AD6</f>
        <v>708161.17428834888</v>
      </c>
      <c r="AE8" s="100">
        <f>ОФР!AE6</f>
        <v>813819.62163633713</v>
      </c>
      <c r="AF8" s="100">
        <f>ОФР!AF6</f>
        <v>815127.30797542783</v>
      </c>
      <c r="AG8" s="100">
        <f>ОФР!AG6</f>
        <v>816438.26353036647</v>
      </c>
      <c r="AH8" s="100">
        <f>ОФР!AH6</f>
        <v>817752.49647419248</v>
      </c>
      <c r="AI8" s="100">
        <f>ОФР!AI6</f>
        <v>713405.0292003022</v>
      </c>
      <c r="AJ8" s="100">
        <f>ОФР!AJ6</f>
        <v>820390.82732287887</v>
      </c>
      <c r="AK8" s="100">
        <f>ОФР!AK6</f>
        <v>821714.94167618593</v>
      </c>
      <c r="AL8" s="100">
        <f>ОФР!AL6</f>
        <v>823042.36631537636</v>
      </c>
      <c r="AM8" s="100">
        <f>ОФР!AM6</f>
        <v>1366588.6458123294</v>
      </c>
      <c r="AN8" s="100">
        <f>ОФР!AN6</f>
        <v>1101775.7391424326</v>
      </c>
      <c r="AO8" s="100">
        <f>ОФР!AO6</f>
        <v>835632.09758889244</v>
      </c>
      <c r="AP8" s="100">
        <f>ОФР!AP6</f>
        <v>729444.79682473163</v>
      </c>
      <c r="AQ8" s="100">
        <f>ОФР!AQ6</f>
        <v>838316.94695480436</v>
      </c>
      <c r="AR8" s="100">
        <f>ОФР!AR6</f>
        <v>839664.40782524133</v>
      </c>
      <c r="AS8" s="100">
        <f>ОФР!AS6</f>
        <v>841015.23734785442</v>
      </c>
      <c r="AT8" s="100">
        <f>ОФР!AT6</f>
        <v>842369.44394427398</v>
      </c>
      <c r="AU8" s="100">
        <f>ОФР!AU6</f>
        <v>734848.14860174758</v>
      </c>
      <c r="AV8" s="100">
        <f>ОФР!AV6</f>
        <v>845088.02215037763</v>
      </c>
      <c r="AW8" s="100">
        <f>ОФР!AW6</f>
        <v>846452.41070880345</v>
      </c>
      <c r="AX8" s="100">
        <f>ОФР!AX6</f>
        <v>847820.21023862541</v>
      </c>
      <c r="AY8" s="100">
        <f>ОФР!AY6</f>
        <v>1408012.8707419438</v>
      </c>
      <c r="AZ8" s="100">
        <f>ОФР!AZ6</f>
        <v>1135145.4261126351</v>
      </c>
      <c r="BA8" s="100">
        <f>ОФР!BA6</f>
        <v>860906.77102479886</v>
      </c>
      <c r="BB8" s="100">
        <f>ОФР!BB6</f>
        <v>751489.6818958337</v>
      </c>
      <c r="BC8" s="100">
        <f>ОФР!BC6</f>
        <v>863673.28265334351</v>
      </c>
      <c r="BD8" s="100">
        <f>ОФР!BD6</f>
        <v>865061.72783555847</v>
      </c>
      <c r="BE8" s="100">
        <f>ОФР!BE6</f>
        <v>866453.64413072879</v>
      </c>
      <c r="BF8" s="100">
        <f>ОФР!BF6</f>
        <v>867849.04021663719</v>
      </c>
      <c r="BG8" s="100">
        <f>ОФР!BG6</f>
        <v>757057.38178768824</v>
      </c>
      <c r="BH8" s="100">
        <f>ОФР!BH6</f>
        <v>870650.30658032361</v>
      </c>
      <c r="BI8" s="100">
        <f>ОФР!BI6</f>
        <v>872056.19432235591</v>
      </c>
      <c r="BJ8" s="100">
        <f>ОФР!BJ6</f>
        <v>873465.59678374324</v>
      </c>
    </row>
    <row r="9" spans="1:62" s="6" customFormat="1" ht="12">
      <c r="A9" s="19" t="s">
        <v>165</v>
      </c>
      <c r="B9" s="111">
        <f>SUM(C9:BJ9)</f>
        <v>407651.285563824</v>
      </c>
      <c r="C9" s="100">
        <f>ОФР!C7+ОФР!C13</f>
        <v>49053.875399999983</v>
      </c>
      <c r="D9" s="100">
        <f>ОФР!D7+ОФР!D13</f>
        <v>22432.118202000001</v>
      </c>
      <c r="E9" s="100">
        <f>ОФР!E7+ОФР!E13</f>
        <v>0</v>
      </c>
      <c r="F9" s="100">
        <f>ОФР!F7+ОФР!F13</f>
        <v>0</v>
      </c>
      <c r="G9" s="100">
        <f>ОФР!G7+ОФР!G13</f>
        <v>0</v>
      </c>
      <c r="H9" s="100">
        <f>ОФР!H7+ОФР!H13</f>
        <v>0</v>
      </c>
      <c r="I9" s="100">
        <f>ОФР!I7+ОФР!I13</f>
        <v>0</v>
      </c>
      <c r="J9" s="100">
        <f>ОФР!J7+ОФР!J13</f>
        <v>0</v>
      </c>
      <c r="K9" s="100">
        <f>ОФР!K7+ОФР!K13</f>
        <v>0</v>
      </c>
      <c r="L9" s="100">
        <f>ОФР!L7+ОФР!L13</f>
        <v>0</v>
      </c>
      <c r="M9" s="100">
        <f>ОФР!M7+ОФР!M13</f>
        <v>0</v>
      </c>
      <c r="N9" s="100">
        <f>ОФР!N7+ОФР!N13</f>
        <v>0</v>
      </c>
      <c r="O9" s="100">
        <f>ОФР!O7+ОФР!O13</f>
        <v>50818.386399705691</v>
      </c>
      <c r="P9" s="100">
        <f>ОФР!P7+ОФР!P13</f>
        <v>24846.247408653668</v>
      </c>
      <c r="Q9" s="100">
        <f>ОФР!Q7+ОФР!Q13</f>
        <v>0</v>
      </c>
      <c r="R9" s="100">
        <f>ОФР!R7+ОФР!R13</f>
        <v>0</v>
      </c>
      <c r="S9" s="100">
        <f>ОФР!S7+ОФР!S13</f>
        <v>0</v>
      </c>
      <c r="T9" s="100">
        <f>ОФР!T7+ОФР!T13</f>
        <v>0</v>
      </c>
      <c r="U9" s="100">
        <f>ОФР!U7+ОФР!U13</f>
        <v>0</v>
      </c>
      <c r="V9" s="100">
        <f>ОФР!V7+ОФР!V13</f>
        <v>0</v>
      </c>
      <c r="W9" s="100">
        <f>ОФР!W7+ОФР!W13</f>
        <v>0</v>
      </c>
      <c r="X9" s="100">
        <f>ОФР!X7+ОФР!X13</f>
        <v>0</v>
      </c>
      <c r="Y9" s="100">
        <f>ОФР!Y7+ОФР!Y13</f>
        <v>62.071640340745979</v>
      </c>
      <c r="Z9" s="100">
        <f>ОФР!Z7+ОФР!Z13</f>
        <v>228.39105194159123</v>
      </c>
      <c r="AA9" s="100">
        <f>ОФР!AA7+ОФР!AA13</f>
        <v>52816.52102414293</v>
      </c>
      <c r="AB9" s="100">
        <f>ОФР!AB7+ОФР!AB13</f>
        <v>26053.44114030249</v>
      </c>
      <c r="AC9" s="100">
        <f>ОФР!AC7+ОФР!AC13</f>
        <v>0</v>
      </c>
      <c r="AD9" s="100">
        <f>ОФР!AD7+ОФР!AD13</f>
        <v>0</v>
      </c>
      <c r="AE9" s="100">
        <f>ОФР!AE7+ОФР!AE13</f>
        <v>0</v>
      </c>
      <c r="AF9" s="100">
        <f>ОФР!AF7+ОФР!AF13</f>
        <v>0</v>
      </c>
      <c r="AG9" s="100">
        <f>ОФР!AG7+ОФР!AG13</f>
        <v>0</v>
      </c>
      <c r="AH9" s="100">
        <f>ОФР!AH7+ОФР!AH13</f>
        <v>0</v>
      </c>
      <c r="AI9" s="100">
        <f>ОФР!AI7+ОФР!AI13</f>
        <v>0</v>
      </c>
      <c r="AJ9" s="100">
        <f>ОФР!AJ7+ОФР!AJ13</f>
        <v>336.5902648073095</v>
      </c>
      <c r="AK9" s="100">
        <f>ОФР!AK7+ОФР!AK13</f>
        <v>506.64986916933401</v>
      </c>
      <c r="AL9" s="100">
        <f>ОФР!AL7+ОФР!AL13</f>
        <v>677.07261254226091</v>
      </c>
      <c r="AM9" s="100">
        <f>ОФР!AM7+ОФР!AM13</f>
        <v>54939.515895147262</v>
      </c>
      <c r="AN9" s="100">
        <f>ОФР!AN7+ОФР!AN13</f>
        <v>27361.455894402079</v>
      </c>
      <c r="AO9" s="100">
        <f>ОФР!AO7+ОФР!AO13</f>
        <v>0</v>
      </c>
      <c r="AP9" s="100">
        <f>ОФР!AP7+ОФР!AP13</f>
        <v>0</v>
      </c>
      <c r="AQ9" s="100">
        <f>ОФР!AQ7+ОФР!AQ13</f>
        <v>0</v>
      </c>
      <c r="AR9" s="100">
        <f>ОФР!AR7+ОФР!AR13</f>
        <v>161.08116237098119</v>
      </c>
      <c r="AS9" s="100">
        <f>ОФР!AS7+ОФР!AS13</f>
        <v>333.94415972792825</v>
      </c>
      <c r="AT9" s="100">
        <f>ОФР!AT7+ОФР!AT13</f>
        <v>507.14125957823728</v>
      </c>
      <c r="AU9" s="100">
        <f>ОФР!AU7+ОФР!AU13</f>
        <v>0</v>
      </c>
      <c r="AV9" s="100">
        <f>ОФР!AV7+ОФР!AV13</f>
        <v>854.61328998460942</v>
      </c>
      <c r="AW9" s="100">
        <f>ОФР!AW7+ОФР!AW13</f>
        <v>1028.8719876605635</v>
      </c>
      <c r="AX9" s="100">
        <f>ОФР!AX7+ОФР!AX13</f>
        <v>1203.4863220807258</v>
      </c>
      <c r="AY9" s="100">
        <f>ОФР!AY7+ОФР!AY13</f>
        <v>57094.916167341849</v>
      </c>
      <c r="AZ9" s="100">
        <f>ОФР!AZ7+ОФР!AZ13</f>
        <v>28677.05110208362</v>
      </c>
      <c r="BA9" s="100">
        <f>ОФР!BA7+ОФР!BA13</f>
        <v>116.23807011209846</v>
      </c>
      <c r="BB9" s="100">
        <f>ОФР!BB7+ОФР!BB13</f>
        <v>0</v>
      </c>
      <c r="BC9" s="100">
        <f>ОФР!BC7+ОФР!BC13</f>
        <v>468.68976373975067</v>
      </c>
      <c r="BD9" s="100">
        <f>ОФР!BD7+ОФР!BD13</f>
        <v>645.47466754441336</v>
      </c>
      <c r="BE9" s="100">
        <f>ОФР!BE7+ОФР!BE13</f>
        <v>822.60347860866727</v>
      </c>
      <c r="BF9" s="100">
        <f>ОФР!BF7+ОФР!BF13</f>
        <v>1000.1131017004755</v>
      </c>
      <c r="BG9" s="100">
        <f>ОФР!BG7+ОФР!BG13</f>
        <v>0</v>
      </c>
      <c r="BH9" s="100">
        <f>ОФР!BH7+ОФР!BH13</f>
        <v>1356.1884143549905</v>
      </c>
      <c r="BI9" s="100">
        <f>ОФР!BI7+ОФР!BI13</f>
        <v>1534.7919247862076</v>
      </c>
      <c r="BJ9" s="100">
        <f>ОФР!BJ7+ОФР!BJ13</f>
        <v>1713.7438889935027</v>
      </c>
    </row>
    <row r="10" spans="1:62" s="10" customFormat="1">
      <c r="A10" s="99" t="s">
        <v>254</v>
      </c>
      <c r="B10" s="111">
        <f>SUM(C10:BJ10)</f>
        <v>1971256.031706966</v>
      </c>
      <c r="C10" s="111">
        <f>C6-C7</f>
        <v>234138.05459999992</v>
      </c>
      <c r="D10" s="111">
        <f>D6-D7</f>
        <v>122056.76069799997</v>
      </c>
      <c r="E10" s="111">
        <f t="shared" ref="E10:AL10" si="2">E6-E7</f>
        <v>3581.280981500051</v>
      </c>
      <c r="F10" s="111">
        <f t="shared" si="2"/>
        <v>-52638.726352837053</v>
      </c>
      <c r="G10" s="111">
        <f t="shared" si="2"/>
        <v>5002.752757850918</v>
      </c>
      <c r="H10" s="111">
        <f t="shared" si="2"/>
        <v>5716.1550147455418</v>
      </c>
      <c r="I10" s="111">
        <f t="shared" si="2"/>
        <v>6431.3407772824867</v>
      </c>
      <c r="J10" s="111">
        <f t="shared" si="2"/>
        <v>7148.3145042257383</v>
      </c>
      <c r="K10" s="111">
        <f t="shared" si="2"/>
        <v>-49777.965467610862</v>
      </c>
      <c r="L10" s="111">
        <f t="shared" si="2"/>
        <v>8587.6437421501614</v>
      </c>
      <c r="M10" s="111">
        <f t="shared" si="2"/>
        <v>9310.0082265055971</v>
      </c>
      <c r="N10" s="111">
        <f t="shared" si="2"/>
        <v>10034.178622071631</v>
      </c>
      <c r="O10" s="111">
        <f t="shared" si="2"/>
        <v>249415.78248754819</v>
      </c>
      <c r="P10" s="111">
        <f t="shared" si="2"/>
        <v>130920.46041720011</v>
      </c>
      <c r="Q10" s="111">
        <f t="shared" si="2"/>
        <v>10573.270480278879</v>
      </c>
      <c r="R10" s="111">
        <f t="shared" si="2"/>
        <v>-47356.722174816299</v>
      </c>
      <c r="S10" s="111">
        <f t="shared" si="2"/>
        <v>12037.977680933313</v>
      </c>
      <c r="T10" s="111">
        <f t="shared" si="2"/>
        <v>12773.078750135493</v>
      </c>
      <c r="U10" s="111">
        <f t="shared" si="2"/>
        <v>13510.017572010867</v>
      </c>
      <c r="V10" s="111">
        <f t="shared" si="2"/>
        <v>14248.798740940751</v>
      </c>
      <c r="W10" s="111">
        <f t="shared" si="2"/>
        <v>-44408.94850976544</v>
      </c>
      <c r="X10" s="111">
        <f t="shared" si="2"/>
        <v>15731.906554950168</v>
      </c>
      <c r="Y10" s="111">
        <f t="shared" si="2"/>
        <v>16414.17080599675</v>
      </c>
      <c r="Z10" s="111">
        <f t="shared" si="2"/>
        <v>16994.048125511734</v>
      </c>
      <c r="AA10" s="111">
        <f t="shared" si="2"/>
        <v>256384.29577665124</v>
      </c>
      <c r="AB10" s="111">
        <f t="shared" si="2"/>
        <v>134285.79852804472</v>
      </c>
      <c r="AC10" s="111">
        <f t="shared" si="2"/>
        <v>10729.604988344945</v>
      </c>
      <c r="AD10" s="111">
        <f t="shared" si="2"/>
        <v>-48962.383827347192</v>
      </c>
      <c r="AE10" s="111">
        <f t="shared" si="2"/>
        <v>12238.86266010534</v>
      </c>
      <c r="AF10" s="111">
        <f t="shared" si="2"/>
        <v>12996.322531756014</v>
      </c>
      <c r="AG10" s="111">
        <f t="shared" si="2"/>
        <v>13755.676053085364</v>
      </c>
      <c r="AH10" s="111">
        <f t="shared" si="2"/>
        <v>14516.927958217915</v>
      </c>
      <c r="AI10" s="111">
        <f t="shared" si="2"/>
        <v>-45924.950805509114</v>
      </c>
      <c r="AJ10" s="111">
        <f t="shared" si="2"/>
        <v>15708.555650788825</v>
      </c>
      <c r="AK10" s="111">
        <f t="shared" si="2"/>
        <v>16305.471626215847</v>
      </c>
      <c r="AL10" s="111">
        <f t="shared" si="2"/>
        <v>16903.941901581362</v>
      </c>
      <c r="AM10" s="111">
        <f t="shared" ref="AM10:BJ10" si="3">AM6-AM7</f>
        <v>263921.71685567079</v>
      </c>
      <c r="AN10" s="111">
        <f t="shared" si="3"/>
        <v>138110.43240783177</v>
      </c>
      <c r="AO10" s="111">
        <f t="shared" si="3"/>
        <v>11311.733419959317</v>
      </c>
      <c r="AP10" s="111">
        <f t="shared" si="3"/>
        <v>-50195.844355632435</v>
      </c>
      <c r="AQ10" s="111">
        <f t="shared" si="3"/>
        <v>12866.896608035429</v>
      </c>
      <c r="AR10" s="111">
        <f t="shared" si="3"/>
        <v>13486.314184134477</v>
      </c>
      <c r="AS10" s="111">
        <f t="shared" si="3"/>
        <v>14095.901172093931</v>
      </c>
      <c r="AT10" s="111">
        <f t="shared" si="3"/>
        <v>14707.110182523029</v>
      </c>
      <c r="AU10" s="111">
        <f t="shared" si="3"/>
        <v>-47066.024901874713</v>
      </c>
      <c r="AV10" s="111">
        <f t="shared" si="3"/>
        <v>15934.338321040967</v>
      </c>
      <c r="AW10" s="111">
        <f t="shared" si="3"/>
        <v>16550.383499342599</v>
      </c>
      <c r="AX10" s="111">
        <f t="shared" si="3"/>
        <v>17168.048800589982</v>
      </c>
      <c r="AY10" s="111">
        <f t="shared" si="3"/>
        <v>271606.66254011285</v>
      </c>
      <c r="AZ10" s="111">
        <f t="shared" si="3"/>
        <v>141969.69946504757</v>
      </c>
      <c r="BA10" s="111">
        <f t="shared" si="3"/>
        <v>11681.428986066254</v>
      </c>
      <c r="BB10" s="111">
        <f t="shared" si="3"/>
        <v>-51580.722554889973</v>
      </c>
      <c r="BC10" s="111">
        <f t="shared" si="3"/>
        <v>12931.442257036688</v>
      </c>
      <c r="BD10" s="111">
        <f t="shared" si="3"/>
        <v>13558.895707702381</v>
      </c>
      <c r="BE10" s="111">
        <f t="shared" si="3"/>
        <v>14188.015846995055</v>
      </c>
      <c r="BF10" s="111">
        <f t="shared" si="3"/>
        <v>14818.770796635537</v>
      </c>
      <c r="BG10" s="111">
        <f t="shared" si="3"/>
        <v>-48355.706647479907</v>
      </c>
      <c r="BH10" s="111">
        <f t="shared" si="3"/>
        <v>16085.291665394907</v>
      </c>
      <c r="BI10" s="111">
        <f t="shared" si="3"/>
        <v>16721.029879581649</v>
      </c>
      <c r="BJ10" s="111">
        <f t="shared" si="3"/>
        <v>17358.455494303722</v>
      </c>
    </row>
    <row r="11" spans="1:62" s="10" customFormat="1">
      <c r="A11" s="99" t="s">
        <v>255</v>
      </c>
      <c r="B11" s="111">
        <f>BJ11</f>
        <v>1971256.031706966</v>
      </c>
      <c r="C11" s="111">
        <f>C10</f>
        <v>234138.05459999992</v>
      </c>
      <c r="D11" s="111">
        <f>C11+D10</f>
        <v>356194.81529799988</v>
      </c>
      <c r="E11" s="111">
        <f t="shared" ref="E11:AL11" si="4">D11+E10</f>
        <v>359776.09627949994</v>
      </c>
      <c r="F11" s="111">
        <f t="shared" si="4"/>
        <v>307137.36992666288</v>
      </c>
      <c r="G11" s="111">
        <f t="shared" si="4"/>
        <v>312140.1226845138</v>
      </c>
      <c r="H11" s="111">
        <f t="shared" si="4"/>
        <v>317856.27769925934</v>
      </c>
      <c r="I11" s="111">
        <f t="shared" si="4"/>
        <v>324287.61847654183</v>
      </c>
      <c r="J11" s="111">
        <f t="shared" si="4"/>
        <v>331435.93298076757</v>
      </c>
      <c r="K11" s="111">
        <f t="shared" si="4"/>
        <v>281657.96751315671</v>
      </c>
      <c r="L11" s="111">
        <f t="shared" si="4"/>
        <v>290245.61125530687</v>
      </c>
      <c r="M11" s="111">
        <f t="shared" si="4"/>
        <v>299555.61948181246</v>
      </c>
      <c r="N11" s="111">
        <f t="shared" si="4"/>
        <v>309589.7981038841</v>
      </c>
      <c r="O11" s="111">
        <f t="shared" si="4"/>
        <v>559005.58059143228</v>
      </c>
      <c r="P11" s="111">
        <f t="shared" si="4"/>
        <v>689926.0410086324</v>
      </c>
      <c r="Q11" s="111">
        <f t="shared" si="4"/>
        <v>700499.31148891128</v>
      </c>
      <c r="R11" s="111">
        <f t="shared" si="4"/>
        <v>653142.58931409498</v>
      </c>
      <c r="S11" s="111">
        <f t="shared" si="4"/>
        <v>665180.56699502829</v>
      </c>
      <c r="T11" s="111">
        <f t="shared" si="4"/>
        <v>677953.64574516378</v>
      </c>
      <c r="U11" s="111">
        <f t="shared" si="4"/>
        <v>691463.66331717465</v>
      </c>
      <c r="V11" s="111">
        <f t="shared" si="4"/>
        <v>705712.4620581154</v>
      </c>
      <c r="W11" s="111">
        <f t="shared" si="4"/>
        <v>661303.51354834996</v>
      </c>
      <c r="X11" s="111">
        <f t="shared" si="4"/>
        <v>677035.42010330013</v>
      </c>
      <c r="Y11" s="111">
        <f t="shared" si="4"/>
        <v>693449.59090929688</v>
      </c>
      <c r="Z11" s="111">
        <f t="shared" si="4"/>
        <v>710443.63903480861</v>
      </c>
      <c r="AA11" s="111">
        <f t="shared" si="4"/>
        <v>966827.93481145985</v>
      </c>
      <c r="AB11" s="111">
        <f t="shared" si="4"/>
        <v>1101113.7333395046</v>
      </c>
      <c r="AC11" s="111">
        <f t="shared" si="4"/>
        <v>1111843.3383278495</v>
      </c>
      <c r="AD11" s="111">
        <f t="shared" si="4"/>
        <v>1062880.9545005024</v>
      </c>
      <c r="AE11" s="111">
        <f t="shared" si="4"/>
        <v>1075119.8171606078</v>
      </c>
      <c r="AF11" s="111">
        <f t="shared" si="4"/>
        <v>1088116.1396923638</v>
      </c>
      <c r="AG11" s="111">
        <f t="shared" si="4"/>
        <v>1101871.8157454492</v>
      </c>
      <c r="AH11" s="111">
        <f t="shared" si="4"/>
        <v>1116388.7437036671</v>
      </c>
      <c r="AI11" s="111">
        <f t="shared" si="4"/>
        <v>1070463.7928981581</v>
      </c>
      <c r="AJ11" s="111">
        <f t="shared" si="4"/>
        <v>1086172.3485489469</v>
      </c>
      <c r="AK11" s="111">
        <f t="shared" si="4"/>
        <v>1102477.8201751627</v>
      </c>
      <c r="AL11" s="111">
        <f t="shared" si="4"/>
        <v>1119381.7620767441</v>
      </c>
      <c r="AM11" s="111">
        <f t="shared" ref="AM11" si="5">AL11+AM10</f>
        <v>1383303.4789324149</v>
      </c>
      <c r="AN11" s="111">
        <f t="shared" ref="AN11" si="6">AM11+AN10</f>
        <v>1521413.9113402467</v>
      </c>
      <c r="AO11" s="111">
        <f t="shared" ref="AO11" si="7">AN11+AO10</f>
        <v>1532725.6447602059</v>
      </c>
      <c r="AP11" s="111">
        <f t="shared" ref="AP11" si="8">AO11+AP10</f>
        <v>1482529.8004045733</v>
      </c>
      <c r="AQ11" s="111">
        <f t="shared" ref="AQ11" si="9">AP11+AQ10</f>
        <v>1495396.6970126089</v>
      </c>
      <c r="AR11" s="111">
        <f t="shared" ref="AR11" si="10">AQ11+AR10</f>
        <v>1508883.0111967432</v>
      </c>
      <c r="AS11" s="111">
        <f t="shared" ref="AS11" si="11">AR11+AS10</f>
        <v>1522978.9123688373</v>
      </c>
      <c r="AT11" s="111">
        <f t="shared" ref="AT11" si="12">AS11+AT10</f>
        <v>1537686.0225513603</v>
      </c>
      <c r="AU11" s="111">
        <f t="shared" ref="AU11" si="13">AT11+AU10</f>
        <v>1490619.9976494857</v>
      </c>
      <c r="AV11" s="111">
        <f t="shared" ref="AV11" si="14">AU11+AV10</f>
        <v>1506554.3359705266</v>
      </c>
      <c r="AW11" s="111">
        <f t="shared" ref="AW11" si="15">AV11+AW10</f>
        <v>1523104.719469869</v>
      </c>
      <c r="AX11" s="111">
        <f t="shared" ref="AX11" si="16">AW11+AX10</f>
        <v>1540272.768270459</v>
      </c>
      <c r="AY11" s="111">
        <f t="shared" ref="AY11" si="17">AX11+AY10</f>
        <v>1811879.4308105719</v>
      </c>
      <c r="AZ11" s="111">
        <f t="shared" ref="AZ11" si="18">AY11+AZ10</f>
        <v>1953849.1302756194</v>
      </c>
      <c r="BA11" s="111">
        <f t="shared" ref="BA11" si="19">AZ11+BA10</f>
        <v>1965530.5592616857</v>
      </c>
      <c r="BB11" s="111">
        <f t="shared" ref="BB11" si="20">BA11+BB10</f>
        <v>1913949.8367067957</v>
      </c>
      <c r="BC11" s="111">
        <f t="shared" ref="BC11" si="21">BB11+BC10</f>
        <v>1926881.2789638324</v>
      </c>
      <c r="BD11" s="111">
        <f t="shared" ref="BD11" si="22">BC11+BD10</f>
        <v>1940440.1746715349</v>
      </c>
      <c r="BE11" s="111">
        <f t="shared" ref="BE11" si="23">BD11+BE10</f>
        <v>1954628.1905185301</v>
      </c>
      <c r="BF11" s="111">
        <f t="shared" ref="BF11" si="24">BE11+BF10</f>
        <v>1969446.9613151657</v>
      </c>
      <c r="BG11" s="111">
        <f t="shared" ref="BG11" si="25">BF11+BG10</f>
        <v>1921091.2546676858</v>
      </c>
      <c r="BH11" s="111">
        <f t="shared" ref="BH11" si="26">BG11+BH10</f>
        <v>1937176.5463330806</v>
      </c>
      <c r="BI11" s="111">
        <f t="shared" ref="BI11" si="27">BH11+BI10</f>
        <v>1953897.5762126623</v>
      </c>
      <c r="BJ11" s="111">
        <f t="shared" ref="BJ11" si="28">BI11+BJ10</f>
        <v>1971256.031706966</v>
      </c>
    </row>
    <row r="12" spans="1:62">
      <c r="A12" s="15"/>
      <c r="B12" s="1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</row>
    <row r="13" spans="1:62" s="3" customFormat="1">
      <c r="A13" s="62" t="s">
        <v>257</v>
      </c>
      <c r="B13" s="63" t="str">
        <f t="shared" ref="B13:AG13" si="29">B5</f>
        <v>Всього</v>
      </c>
      <c r="C13" s="63">
        <f t="shared" si="29"/>
        <v>44562</v>
      </c>
      <c r="D13" s="63">
        <f t="shared" si="29"/>
        <v>44593</v>
      </c>
      <c r="E13" s="63">
        <f t="shared" si="29"/>
        <v>44621</v>
      </c>
      <c r="F13" s="63">
        <f t="shared" si="29"/>
        <v>44652</v>
      </c>
      <c r="G13" s="63">
        <f t="shared" si="29"/>
        <v>44682</v>
      </c>
      <c r="H13" s="63">
        <f t="shared" si="29"/>
        <v>44713</v>
      </c>
      <c r="I13" s="63">
        <f t="shared" si="29"/>
        <v>44743</v>
      </c>
      <c r="J13" s="63">
        <f t="shared" si="29"/>
        <v>44774</v>
      </c>
      <c r="K13" s="63">
        <f t="shared" si="29"/>
        <v>44805</v>
      </c>
      <c r="L13" s="63">
        <f t="shared" si="29"/>
        <v>44835</v>
      </c>
      <c r="M13" s="63">
        <f t="shared" si="29"/>
        <v>44866</v>
      </c>
      <c r="N13" s="63">
        <f t="shared" si="29"/>
        <v>44896</v>
      </c>
      <c r="O13" s="63">
        <f t="shared" si="29"/>
        <v>44927</v>
      </c>
      <c r="P13" s="63">
        <f t="shared" si="29"/>
        <v>44958</v>
      </c>
      <c r="Q13" s="63">
        <f t="shared" si="29"/>
        <v>44986</v>
      </c>
      <c r="R13" s="63">
        <f t="shared" si="29"/>
        <v>45017</v>
      </c>
      <c r="S13" s="63">
        <f t="shared" si="29"/>
        <v>45047</v>
      </c>
      <c r="T13" s="63">
        <f t="shared" si="29"/>
        <v>45078</v>
      </c>
      <c r="U13" s="63">
        <f t="shared" si="29"/>
        <v>45108</v>
      </c>
      <c r="V13" s="63">
        <f t="shared" si="29"/>
        <v>45139</v>
      </c>
      <c r="W13" s="63">
        <f t="shared" si="29"/>
        <v>45170</v>
      </c>
      <c r="X13" s="63">
        <f t="shared" si="29"/>
        <v>45200</v>
      </c>
      <c r="Y13" s="63">
        <f t="shared" si="29"/>
        <v>45231</v>
      </c>
      <c r="Z13" s="63">
        <f t="shared" si="29"/>
        <v>45261</v>
      </c>
      <c r="AA13" s="63">
        <f t="shared" si="29"/>
        <v>45292</v>
      </c>
      <c r="AB13" s="63">
        <f t="shared" si="29"/>
        <v>45323</v>
      </c>
      <c r="AC13" s="63">
        <f t="shared" si="29"/>
        <v>45352</v>
      </c>
      <c r="AD13" s="63">
        <f t="shared" si="29"/>
        <v>45383</v>
      </c>
      <c r="AE13" s="63">
        <f t="shared" si="29"/>
        <v>45413</v>
      </c>
      <c r="AF13" s="63">
        <f t="shared" si="29"/>
        <v>45444</v>
      </c>
      <c r="AG13" s="63">
        <f t="shared" si="29"/>
        <v>45474</v>
      </c>
      <c r="AH13" s="63">
        <f t="shared" ref="AH13:AL13" si="30">AH5</f>
        <v>45505</v>
      </c>
      <c r="AI13" s="63">
        <f t="shared" si="30"/>
        <v>45536</v>
      </c>
      <c r="AJ13" s="63">
        <f t="shared" si="30"/>
        <v>45566</v>
      </c>
      <c r="AK13" s="63">
        <f t="shared" si="30"/>
        <v>45597</v>
      </c>
      <c r="AL13" s="63">
        <f t="shared" si="30"/>
        <v>45627</v>
      </c>
      <c r="AM13" s="63">
        <f t="shared" ref="AM13:BJ13" si="31">AM5</f>
        <v>45658</v>
      </c>
      <c r="AN13" s="63">
        <f t="shared" si="31"/>
        <v>45689</v>
      </c>
      <c r="AO13" s="63">
        <f t="shared" si="31"/>
        <v>45717</v>
      </c>
      <c r="AP13" s="63">
        <f t="shared" si="31"/>
        <v>45748</v>
      </c>
      <c r="AQ13" s="63">
        <f t="shared" si="31"/>
        <v>45778</v>
      </c>
      <c r="AR13" s="63">
        <f t="shared" si="31"/>
        <v>45809</v>
      </c>
      <c r="AS13" s="63">
        <f t="shared" si="31"/>
        <v>45839</v>
      </c>
      <c r="AT13" s="63">
        <f t="shared" si="31"/>
        <v>45870</v>
      </c>
      <c r="AU13" s="63">
        <f t="shared" si="31"/>
        <v>45901</v>
      </c>
      <c r="AV13" s="63">
        <f t="shared" si="31"/>
        <v>45931</v>
      </c>
      <c r="AW13" s="63">
        <f t="shared" si="31"/>
        <v>45962</v>
      </c>
      <c r="AX13" s="63">
        <f t="shared" si="31"/>
        <v>45992</v>
      </c>
      <c r="AY13" s="63">
        <f t="shared" si="31"/>
        <v>46023</v>
      </c>
      <c r="AZ13" s="63">
        <f t="shared" si="31"/>
        <v>46054</v>
      </c>
      <c r="BA13" s="63">
        <f t="shared" si="31"/>
        <v>46082</v>
      </c>
      <c r="BB13" s="63">
        <f t="shared" si="31"/>
        <v>46113</v>
      </c>
      <c r="BC13" s="63">
        <f t="shared" si="31"/>
        <v>46143</v>
      </c>
      <c r="BD13" s="63">
        <f t="shared" si="31"/>
        <v>46174</v>
      </c>
      <c r="BE13" s="63">
        <f t="shared" si="31"/>
        <v>46204</v>
      </c>
      <c r="BF13" s="63">
        <f t="shared" si="31"/>
        <v>46235</v>
      </c>
      <c r="BG13" s="63">
        <f t="shared" si="31"/>
        <v>46266</v>
      </c>
      <c r="BH13" s="63">
        <f t="shared" si="31"/>
        <v>46296</v>
      </c>
      <c r="BI13" s="63">
        <f t="shared" si="31"/>
        <v>46327</v>
      </c>
      <c r="BJ13" s="63">
        <f t="shared" si="31"/>
        <v>46357</v>
      </c>
    </row>
    <row r="14" spans="1:62" s="10" customFormat="1">
      <c r="A14" s="69" t="s">
        <v>258</v>
      </c>
      <c r="B14" s="111">
        <f>SUM(C14:BJ14)</f>
        <v>863772.00000000023</v>
      </c>
      <c r="C14" s="111">
        <f>'Інвестиційний план'!C5+'Інвестиційний план'!C6+'Інвестиційний план'!C7</f>
        <v>820970.33333333337</v>
      </c>
      <c r="D14" s="111">
        <f>'Інвестиційний план'!D5+'Інвестиційний план'!D6+'Інвестиційний план'!D7</f>
        <v>8560.3333333333339</v>
      </c>
      <c r="E14" s="111">
        <f>'Інвестиційний план'!E5+'Інвестиційний план'!E6+'Інвестиційний план'!E7</f>
        <v>8560.3333333333339</v>
      </c>
      <c r="F14" s="111">
        <f>'Інвестиційний план'!F5+'Інвестиційний план'!F6+'Інвестиційний план'!F7</f>
        <v>8560.3333333333339</v>
      </c>
      <c r="G14" s="111">
        <f>'Інвестиційний план'!G5+'Інвестиційний план'!G6+'Інвестиційний план'!G7</f>
        <v>8560.3333333333339</v>
      </c>
      <c r="H14" s="111">
        <f>'Інвестиційний план'!H5+'Інвестиційний план'!H6+'Інвестиційний план'!H7</f>
        <v>8560.3333333333339</v>
      </c>
      <c r="I14" s="111">
        <f>'Інвестиційний план'!I5+'Інвестиційний план'!I6+'Інвестиційний план'!I7</f>
        <v>0</v>
      </c>
      <c r="J14" s="111">
        <f>'Інвестиційний план'!J5+'Інвестиційний план'!J6+'Інвестиційний план'!J7</f>
        <v>0</v>
      </c>
      <c r="K14" s="111">
        <f>'Інвестиційний план'!K5+'Інвестиційний план'!K6+'Інвестиційний план'!K7</f>
        <v>0</v>
      </c>
      <c r="L14" s="111">
        <f>'Інвестиційний план'!L5+'Інвестиційний план'!L6+'Інвестиційний план'!L7</f>
        <v>0</v>
      </c>
      <c r="M14" s="111">
        <f>'Інвестиційний план'!M5+'Інвестиційний план'!M6+'Інвестиційний план'!M7</f>
        <v>0</v>
      </c>
      <c r="N14" s="111">
        <f>'Інвестиційний план'!N5+'Інвестиційний план'!N6+'Інвестиційний план'!N7</f>
        <v>0</v>
      </c>
      <c r="O14" s="111">
        <f>'Інвестиційний план'!O5+'Інвестиційний план'!O6+'Інвестиційний план'!O7</f>
        <v>0</v>
      </c>
      <c r="P14" s="111">
        <f>'Інвестиційний план'!P5+'Інвестиційний план'!P6+'Інвестиційний план'!P7</f>
        <v>0</v>
      </c>
      <c r="Q14" s="111">
        <f>'Інвестиційний план'!Q5+'Інвестиційний план'!Q6+'Інвестиційний план'!Q7</f>
        <v>0</v>
      </c>
      <c r="R14" s="111">
        <f>'Інвестиційний план'!R5+'Інвестиційний план'!R6+'Інвестиційний план'!R7</f>
        <v>0</v>
      </c>
      <c r="S14" s="111">
        <f>'Інвестиційний план'!S5+'Інвестиційний план'!S6+'Інвестиційний план'!S7</f>
        <v>0</v>
      </c>
      <c r="T14" s="111">
        <f>'Інвестиційний план'!T5+'Інвестиційний план'!T6+'Інвестиційний план'!T7</f>
        <v>0</v>
      </c>
      <c r="U14" s="111">
        <f>'Інвестиційний план'!U5+'Інвестиційний план'!U6+'Інвестиційний план'!U7</f>
        <v>0</v>
      </c>
      <c r="V14" s="111">
        <f>'Інвестиційний план'!V5+'Інвестиційний план'!V6+'Інвестиційний план'!V7</f>
        <v>0</v>
      </c>
      <c r="W14" s="111">
        <f>'Інвестиційний план'!W5+'Інвестиційний план'!W6+'Інвестиційний план'!W7</f>
        <v>0</v>
      </c>
      <c r="X14" s="111">
        <f>'Інвестиційний план'!X5+'Інвестиційний план'!X6+'Інвестиційний план'!X7</f>
        <v>0</v>
      </c>
      <c r="Y14" s="111">
        <f>'Інвестиційний план'!Y5+'Інвестиційний план'!Y6+'Інвестиційний план'!Y7</f>
        <v>0</v>
      </c>
      <c r="Z14" s="111">
        <f>'Інвестиційний план'!Z5+'Інвестиційний план'!Z6+'Інвестиційний план'!Z7</f>
        <v>0</v>
      </c>
      <c r="AA14" s="111">
        <f>'Інвестиційний план'!AA5+'Інвестиційний план'!AA6+'Інвестиційний план'!AA7</f>
        <v>0</v>
      </c>
      <c r="AB14" s="111">
        <f>'Інвестиційний план'!AB5+'Інвестиційний план'!AB6+'Інвестиційний план'!AB7</f>
        <v>0</v>
      </c>
      <c r="AC14" s="111">
        <f>'Інвестиційний план'!AC5+'Інвестиційний план'!AC6+'Інвестиційний план'!AC7</f>
        <v>0</v>
      </c>
      <c r="AD14" s="111">
        <f>'Інвестиційний план'!AD5+'Інвестиційний план'!AD6+'Інвестиційний план'!AD7</f>
        <v>0</v>
      </c>
      <c r="AE14" s="111">
        <f>'Інвестиційний план'!AE5+'Інвестиційний план'!AE6+'Інвестиційний план'!AE7</f>
        <v>0</v>
      </c>
      <c r="AF14" s="111">
        <f>'Інвестиційний план'!AF5+'Інвестиційний план'!AF6+'Інвестиційний план'!AF7</f>
        <v>0</v>
      </c>
      <c r="AG14" s="111">
        <f>'Інвестиційний план'!AG5+'Інвестиційний план'!AG6+'Інвестиційний план'!AG7</f>
        <v>0</v>
      </c>
      <c r="AH14" s="111">
        <f>'Інвестиційний план'!AH5+'Інвестиційний план'!AH6+'Інвестиційний план'!AH7</f>
        <v>0</v>
      </c>
      <c r="AI14" s="111">
        <f>'Інвестиційний план'!AI5+'Інвестиційний план'!AI6+'Інвестиційний план'!AI7</f>
        <v>0</v>
      </c>
      <c r="AJ14" s="111">
        <f>'Інвестиційний план'!AJ5+'Інвестиційний план'!AJ6+'Інвестиційний план'!AJ7</f>
        <v>0</v>
      </c>
      <c r="AK14" s="111">
        <f>'Інвестиційний план'!AK5+'Інвестиційний план'!AK6+'Інвестиційний план'!AK7</f>
        <v>0</v>
      </c>
      <c r="AL14" s="111">
        <f>'Інвестиційний план'!AL5+'Інвестиційний план'!AL6+'Інвестиційний план'!AL7</f>
        <v>0</v>
      </c>
      <c r="AM14" s="111">
        <f>'Інвестиційний план'!AM5+'Інвестиційний план'!AM6+'Інвестиційний план'!AM7</f>
        <v>0</v>
      </c>
      <c r="AN14" s="111">
        <f>'Інвестиційний план'!AN5+'Інвестиційний план'!AN6+'Інвестиційний план'!AN7</f>
        <v>0</v>
      </c>
      <c r="AO14" s="111">
        <f>'Інвестиційний план'!AO5+'Інвестиційний план'!AO6+'Інвестиційний план'!AO7</f>
        <v>0</v>
      </c>
      <c r="AP14" s="111">
        <f>'Інвестиційний план'!AP5+'Інвестиційний план'!AP6+'Інвестиційний план'!AP7</f>
        <v>0</v>
      </c>
      <c r="AQ14" s="111">
        <f>'Інвестиційний план'!AQ5+'Інвестиційний план'!AQ6+'Інвестиційний план'!AQ7</f>
        <v>0</v>
      </c>
      <c r="AR14" s="111">
        <f>'Інвестиційний план'!AR5+'Інвестиційний план'!AR6+'Інвестиційний план'!AR7</f>
        <v>0</v>
      </c>
      <c r="AS14" s="111">
        <f>'Інвестиційний план'!AS5+'Інвестиційний план'!AS6+'Інвестиційний план'!AS7</f>
        <v>0</v>
      </c>
      <c r="AT14" s="111">
        <f>'Інвестиційний план'!AT5+'Інвестиційний план'!AT6+'Інвестиційний план'!AT7</f>
        <v>0</v>
      </c>
      <c r="AU14" s="111">
        <f>'Інвестиційний план'!AU5+'Інвестиційний план'!AU6+'Інвестиційний план'!AU7</f>
        <v>0</v>
      </c>
      <c r="AV14" s="111">
        <f>'Інвестиційний план'!AV5+'Інвестиційний план'!AV6+'Інвестиційний план'!AV7</f>
        <v>0</v>
      </c>
      <c r="AW14" s="111">
        <f>'Інвестиційний план'!AW5+'Інвестиційний план'!AW6+'Інвестиційний план'!AW7</f>
        <v>0</v>
      </c>
      <c r="AX14" s="111">
        <f>'Інвестиційний план'!AX5+'Інвестиційний план'!AX6+'Інвестиційний план'!AX7</f>
        <v>0</v>
      </c>
      <c r="AY14" s="111">
        <f>'Інвестиційний план'!AY5+'Інвестиційний план'!AY6+'Інвестиційний план'!AY7</f>
        <v>0</v>
      </c>
      <c r="AZ14" s="111">
        <f>'Інвестиційний план'!AZ5+'Інвестиційний план'!AZ6+'Інвестиційний план'!AZ7</f>
        <v>0</v>
      </c>
      <c r="BA14" s="111">
        <f>'Інвестиційний план'!BA5+'Інвестиційний план'!BA6+'Інвестиційний план'!BA7</f>
        <v>0</v>
      </c>
      <c r="BB14" s="111">
        <f>'Інвестиційний план'!BB5+'Інвестиційний план'!BB6+'Інвестиційний план'!BB7</f>
        <v>0</v>
      </c>
      <c r="BC14" s="111">
        <f>'Інвестиційний план'!BC5+'Інвестиційний план'!BC6+'Інвестиційний план'!BC7</f>
        <v>0</v>
      </c>
      <c r="BD14" s="111">
        <f>'Інвестиційний план'!BD5+'Інвестиційний план'!BD6+'Інвестиційний план'!BD7</f>
        <v>0</v>
      </c>
      <c r="BE14" s="111">
        <f>'Інвестиційний план'!BE5+'Інвестиційний план'!BE6+'Інвестиційний план'!BE7</f>
        <v>0</v>
      </c>
      <c r="BF14" s="111">
        <f>'Інвестиційний план'!BF5+'Інвестиційний план'!BF6+'Інвестиційний план'!BF7</f>
        <v>0</v>
      </c>
      <c r="BG14" s="111">
        <f>'Інвестиційний план'!BG5+'Інвестиційний план'!BG6+'Інвестиційний план'!BG7</f>
        <v>0</v>
      </c>
      <c r="BH14" s="111">
        <f>'Інвестиційний план'!BH5+'Інвестиційний план'!BH6+'Інвестиційний план'!BH7</f>
        <v>0</v>
      </c>
      <c r="BI14" s="111">
        <f>'Інвестиційний план'!BI5+'Інвестиційний план'!BI6+'Інвестиційний план'!BI7</f>
        <v>0</v>
      </c>
      <c r="BJ14" s="111">
        <f>'Інвестиційний план'!BJ5+'Інвестиційний план'!BJ6+'Інвестиційний план'!BJ7</f>
        <v>0</v>
      </c>
    </row>
    <row r="15" spans="1:62" s="10" customFormat="1">
      <c r="A15" s="69" t="s">
        <v>259</v>
      </c>
      <c r="B15" s="111">
        <f>SUM(C15:BJ15)</f>
        <v>820970.33333333337</v>
      </c>
      <c r="C15" s="111">
        <f>SUM('Інвестиційний план'!C5:C7)+SUM('Інвестиційний план'!C12:C13)</f>
        <v>820970.33333333337</v>
      </c>
      <c r="D15" s="111">
        <f>SUM('Інвестиційний план'!D5:D6)+SUM('Інвестиційний план'!D12:D13)</f>
        <v>0</v>
      </c>
      <c r="E15" s="111">
        <f>SUM('Інвестиційний план'!E5:E6)+SUM('Інвестиційний план'!E12:E13)</f>
        <v>0</v>
      </c>
      <c r="F15" s="111">
        <f>SUM('Інвестиційний план'!F5:F6)+SUM('Інвестиційний план'!F12:F13)</f>
        <v>0</v>
      </c>
      <c r="G15" s="111">
        <f>SUM('Інвестиційний план'!G5:G6)+SUM('Інвестиційний план'!G12:G13)</f>
        <v>0</v>
      </c>
      <c r="H15" s="111">
        <f>SUM('Інвестиційний план'!H5:H6)+SUM('Інвестиційний план'!H12:H13)</f>
        <v>0</v>
      </c>
      <c r="I15" s="111">
        <f>SUM('Інвестиційний план'!I5:I6)+SUM('Інвестиційний план'!I12:I13)</f>
        <v>0</v>
      </c>
      <c r="J15" s="111">
        <f>SUM('Інвестиційний план'!J5:J6)+SUM('Інвестиційний план'!J12:J13)</f>
        <v>0</v>
      </c>
      <c r="K15" s="111">
        <f>SUM('Інвестиційний план'!K5:K6)+SUM('Інвестиційний план'!K12:K13)</f>
        <v>0</v>
      </c>
      <c r="L15" s="111">
        <f>SUM('Інвестиційний план'!L5:L6)+SUM('Інвестиційний план'!L12:L13)</f>
        <v>0</v>
      </c>
      <c r="M15" s="111">
        <f>SUM('Інвестиційний план'!M5:M6)+SUM('Інвестиційний план'!M12:M13)</f>
        <v>0</v>
      </c>
      <c r="N15" s="111">
        <f>SUM('Інвестиційний план'!N5:N6)+SUM('Інвестиційний план'!N12:N13)</f>
        <v>0</v>
      </c>
      <c r="O15" s="111">
        <f>SUM('Інвестиційний план'!O5:O6)+SUM('Інвестиційний план'!O12:O13)</f>
        <v>0</v>
      </c>
      <c r="P15" s="111">
        <f>SUM('Інвестиційний план'!P5:P6)+SUM('Інвестиційний план'!P12:P13)</f>
        <v>0</v>
      </c>
      <c r="Q15" s="111">
        <f>SUM('Інвестиційний план'!Q5:Q6)+SUM('Інвестиційний план'!Q12:Q13)</f>
        <v>0</v>
      </c>
      <c r="R15" s="111">
        <f>SUM('Інвестиційний план'!R5:R6)+SUM('Інвестиційний план'!R12:R13)</f>
        <v>0</v>
      </c>
      <c r="S15" s="111">
        <f>SUM('Інвестиційний план'!S5:S6)+SUM('Інвестиційний план'!S12:S13)</f>
        <v>0</v>
      </c>
      <c r="T15" s="111">
        <f>SUM('Інвестиційний план'!T5:T6)+SUM('Інвестиційний план'!T12:T13)</f>
        <v>0</v>
      </c>
      <c r="U15" s="111">
        <f>SUM('Інвестиційний план'!U5:U6)+SUM('Інвестиційний план'!U12:U13)</f>
        <v>0</v>
      </c>
      <c r="V15" s="111">
        <f>SUM('Інвестиційний план'!V5:V6)+SUM('Інвестиційний план'!V12:V13)</f>
        <v>0</v>
      </c>
      <c r="W15" s="111">
        <f>SUM('Інвестиційний план'!W5:W6)+SUM('Інвестиційний план'!W12:W13)</f>
        <v>0</v>
      </c>
      <c r="X15" s="111">
        <f>SUM('Інвестиційний план'!X5:X6)+SUM('Інвестиційний план'!X12:X13)</f>
        <v>0</v>
      </c>
      <c r="Y15" s="111">
        <f>SUM('Інвестиційний план'!Y5:Y6)+SUM('Інвестиційний план'!Y12:Y13)</f>
        <v>0</v>
      </c>
      <c r="Z15" s="111">
        <f>SUM('Інвестиційний план'!Z5:Z6)+SUM('Інвестиційний план'!Z12:Z13)</f>
        <v>0</v>
      </c>
      <c r="AA15" s="111">
        <f>SUM('Інвестиційний план'!AA5:AA6)+SUM('Інвестиційний план'!AA12:AA13)</f>
        <v>0</v>
      </c>
      <c r="AB15" s="111">
        <f>SUM('Інвестиційний план'!AB5:AB6)+SUM('Інвестиційний план'!AB12:AB13)</f>
        <v>0</v>
      </c>
      <c r="AC15" s="111">
        <f>SUM('Інвестиційний план'!AC5:AC6)+SUM('Інвестиційний план'!AC12:AC13)</f>
        <v>0</v>
      </c>
      <c r="AD15" s="111">
        <f>SUM('Інвестиційний план'!AD5:AD6)+SUM('Інвестиційний план'!AD12:AD13)</f>
        <v>0</v>
      </c>
      <c r="AE15" s="111">
        <f>SUM('Інвестиційний план'!AE5:AE6)+SUM('Інвестиційний план'!AE12:AE13)</f>
        <v>0</v>
      </c>
      <c r="AF15" s="111">
        <f>SUM('Інвестиційний план'!AF5:AF6)+SUM('Інвестиційний план'!AF12:AF13)</f>
        <v>0</v>
      </c>
      <c r="AG15" s="111">
        <f>SUM('Інвестиційний план'!AG5:AG6)+SUM('Інвестиційний план'!AG12:AG13)</f>
        <v>0</v>
      </c>
      <c r="AH15" s="111">
        <f>SUM('Інвестиційний план'!AH5:AH6)+SUM('Інвестиційний план'!AH12:AH13)</f>
        <v>0</v>
      </c>
      <c r="AI15" s="111">
        <f>SUM('Інвестиційний план'!AI5:AI6)+SUM('Інвестиційний план'!AI12:AI13)</f>
        <v>0</v>
      </c>
      <c r="AJ15" s="111">
        <f>SUM('Інвестиційний план'!AJ5:AJ6)+SUM('Інвестиційний план'!AJ12:AJ13)</f>
        <v>0</v>
      </c>
      <c r="AK15" s="111">
        <f>SUM('Інвестиційний план'!AK5:AK6)+SUM('Інвестиційний план'!AK12:AK13)</f>
        <v>0</v>
      </c>
      <c r="AL15" s="111">
        <f>SUM('Інвестиційний план'!AL5:AL6)+SUM('Інвестиційний план'!AL12:AL13)</f>
        <v>0</v>
      </c>
      <c r="AM15" s="111">
        <f>SUM('Інвестиційний план'!AM5:AM6)+SUM('Інвестиційний план'!AM12:AM13)</f>
        <v>0</v>
      </c>
      <c r="AN15" s="111">
        <f>SUM('Інвестиційний план'!AN5:AN6)+SUM('Інвестиційний план'!AN12:AN13)</f>
        <v>0</v>
      </c>
      <c r="AO15" s="111">
        <f>SUM('Інвестиційний план'!AO5:AO6)+SUM('Інвестиційний план'!AO12:AO13)</f>
        <v>0</v>
      </c>
      <c r="AP15" s="111">
        <f>SUM('Інвестиційний план'!AP5:AP6)+SUM('Інвестиційний план'!AP12:AP13)</f>
        <v>0</v>
      </c>
      <c r="AQ15" s="111">
        <f>SUM('Інвестиційний план'!AQ5:AQ6)+SUM('Інвестиційний план'!AQ12:AQ13)</f>
        <v>0</v>
      </c>
      <c r="AR15" s="111">
        <f>SUM('Інвестиційний план'!AR5:AR6)+SUM('Інвестиційний план'!AR12:AR13)</f>
        <v>0</v>
      </c>
      <c r="AS15" s="111">
        <f>SUM('Інвестиційний план'!AS5:AS6)+SUM('Інвестиційний план'!AS12:AS13)</f>
        <v>0</v>
      </c>
      <c r="AT15" s="111">
        <f>SUM('Інвестиційний план'!AT5:AT6)+SUM('Інвестиційний план'!AT12:AT13)</f>
        <v>0</v>
      </c>
      <c r="AU15" s="111">
        <f>SUM('Інвестиційний план'!AU5:AU6)+SUM('Інвестиційний план'!AU12:AU13)</f>
        <v>0</v>
      </c>
      <c r="AV15" s="111">
        <f>SUM('Інвестиційний план'!AV5:AV6)+SUM('Інвестиційний план'!AV12:AV13)</f>
        <v>0</v>
      </c>
      <c r="AW15" s="111">
        <f>SUM('Інвестиційний план'!AW5:AW6)+SUM('Інвестиційний план'!AW12:AW13)</f>
        <v>0</v>
      </c>
      <c r="AX15" s="111">
        <f>SUM('Інвестиційний план'!AX5:AX6)+SUM('Інвестиційний план'!AX12:AX13)</f>
        <v>0</v>
      </c>
      <c r="AY15" s="111">
        <f>SUM('Інвестиційний план'!AY5:AY6)+SUM('Інвестиційний план'!AY12:AY13)</f>
        <v>0</v>
      </c>
      <c r="AZ15" s="111">
        <f>SUM('Інвестиційний план'!AZ5:AZ6)+SUM('Інвестиційний план'!AZ12:AZ13)</f>
        <v>0</v>
      </c>
      <c r="BA15" s="111">
        <f>SUM('Інвестиційний план'!BA5:BA6)+SUM('Інвестиційний план'!BA12:BA13)</f>
        <v>0</v>
      </c>
      <c r="BB15" s="111">
        <f>SUM('Інвестиційний план'!BB5:BB6)+SUM('Інвестиційний план'!BB12:BB13)</f>
        <v>0</v>
      </c>
      <c r="BC15" s="111">
        <f>SUM('Інвестиційний план'!BC5:BC6)+SUM('Інвестиційний план'!BC12:BC13)</f>
        <v>0</v>
      </c>
      <c r="BD15" s="111">
        <f>SUM('Інвестиційний план'!BD5:BD6)+SUM('Інвестиційний план'!BD12:BD13)</f>
        <v>0</v>
      </c>
      <c r="BE15" s="111">
        <f>SUM('Інвестиційний план'!BE5:BE6)+SUM('Інвестиційний план'!BE12:BE13)</f>
        <v>0</v>
      </c>
      <c r="BF15" s="111">
        <f>SUM('Інвестиційний план'!BF5:BF6)+SUM('Інвестиційний план'!BF12:BF13)</f>
        <v>0</v>
      </c>
      <c r="BG15" s="111">
        <f>SUM('Інвестиційний план'!BG5:BG6)+SUM('Інвестиційний план'!BG12:BG13)</f>
        <v>0</v>
      </c>
      <c r="BH15" s="111">
        <f>SUM('Інвестиційний план'!BH5:BH6)+SUM('Інвестиційний план'!BH12:BH13)</f>
        <v>0</v>
      </c>
      <c r="BI15" s="111">
        <f>SUM('Інвестиційний план'!BI5:BI6)+SUM('Інвестиційний план'!BI12:BI13)</f>
        <v>0</v>
      </c>
      <c r="BJ15" s="111">
        <f>SUM('Інвестиційний план'!BJ5:BJ6)+SUM('Інвестиційний план'!BJ12:BJ13)</f>
        <v>0</v>
      </c>
    </row>
    <row r="16" spans="1:62" s="10" customFormat="1">
      <c r="A16" s="101" t="s">
        <v>260</v>
      </c>
      <c r="B16" s="111">
        <f>SUM(C16:BJ16)</f>
        <v>42801.666666666672</v>
      </c>
      <c r="C16" s="111">
        <f>C14-C15</f>
        <v>0</v>
      </c>
      <c r="D16" s="111">
        <f>D14-D15</f>
        <v>8560.3333333333339</v>
      </c>
      <c r="E16" s="111">
        <f t="shared" ref="E16:AL16" si="32">E14-E15</f>
        <v>8560.3333333333339</v>
      </c>
      <c r="F16" s="111">
        <f t="shared" si="32"/>
        <v>8560.3333333333339</v>
      </c>
      <c r="G16" s="111">
        <f t="shared" si="32"/>
        <v>8560.3333333333339</v>
      </c>
      <c r="H16" s="111">
        <f t="shared" si="32"/>
        <v>8560.3333333333339</v>
      </c>
      <c r="I16" s="111">
        <f t="shared" si="32"/>
        <v>0</v>
      </c>
      <c r="J16" s="111">
        <f t="shared" si="32"/>
        <v>0</v>
      </c>
      <c r="K16" s="111">
        <f t="shared" si="32"/>
        <v>0</v>
      </c>
      <c r="L16" s="111">
        <f t="shared" si="32"/>
        <v>0</v>
      </c>
      <c r="M16" s="111">
        <f t="shared" si="32"/>
        <v>0</v>
      </c>
      <c r="N16" s="111">
        <f t="shared" si="32"/>
        <v>0</v>
      </c>
      <c r="O16" s="111">
        <f t="shared" si="32"/>
        <v>0</v>
      </c>
      <c r="P16" s="111">
        <f t="shared" si="32"/>
        <v>0</v>
      </c>
      <c r="Q16" s="111">
        <f t="shared" si="32"/>
        <v>0</v>
      </c>
      <c r="R16" s="111">
        <f t="shared" si="32"/>
        <v>0</v>
      </c>
      <c r="S16" s="111">
        <f t="shared" si="32"/>
        <v>0</v>
      </c>
      <c r="T16" s="111">
        <f t="shared" si="32"/>
        <v>0</v>
      </c>
      <c r="U16" s="111">
        <f t="shared" si="32"/>
        <v>0</v>
      </c>
      <c r="V16" s="111">
        <f t="shared" si="32"/>
        <v>0</v>
      </c>
      <c r="W16" s="111">
        <f t="shared" si="32"/>
        <v>0</v>
      </c>
      <c r="X16" s="111">
        <f t="shared" si="32"/>
        <v>0</v>
      </c>
      <c r="Y16" s="111">
        <f t="shared" si="32"/>
        <v>0</v>
      </c>
      <c r="Z16" s="111">
        <f t="shared" si="32"/>
        <v>0</v>
      </c>
      <c r="AA16" s="111">
        <f t="shared" si="32"/>
        <v>0</v>
      </c>
      <c r="AB16" s="111">
        <f t="shared" si="32"/>
        <v>0</v>
      </c>
      <c r="AC16" s="111">
        <f t="shared" si="32"/>
        <v>0</v>
      </c>
      <c r="AD16" s="111">
        <f t="shared" si="32"/>
        <v>0</v>
      </c>
      <c r="AE16" s="111">
        <f t="shared" si="32"/>
        <v>0</v>
      </c>
      <c r="AF16" s="111">
        <f t="shared" si="32"/>
        <v>0</v>
      </c>
      <c r="AG16" s="111">
        <f t="shared" si="32"/>
        <v>0</v>
      </c>
      <c r="AH16" s="111">
        <f t="shared" si="32"/>
        <v>0</v>
      </c>
      <c r="AI16" s="111">
        <f t="shared" si="32"/>
        <v>0</v>
      </c>
      <c r="AJ16" s="111">
        <f t="shared" si="32"/>
        <v>0</v>
      </c>
      <c r="AK16" s="111">
        <f t="shared" si="32"/>
        <v>0</v>
      </c>
      <c r="AL16" s="111">
        <f t="shared" si="32"/>
        <v>0</v>
      </c>
      <c r="AM16" s="111">
        <f t="shared" ref="AM16:BJ16" si="33">AM14-AM15</f>
        <v>0</v>
      </c>
      <c r="AN16" s="111">
        <f t="shared" si="33"/>
        <v>0</v>
      </c>
      <c r="AO16" s="111">
        <f t="shared" si="33"/>
        <v>0</v>
      </c>
      <c r="AP16" s="111">
        <f t="shared" si="33"/>
        <v>0</v>
      </c>
      <c r="AQ16" s="111">
        <f t="shared" si="33"/>
        <v>0</v>
      </c>
      <c r="AR16" s="111">
        <f t="shared" si="33"/>
        <v>0</v>
      </c>
      <c r="AS16" s="111">
        <f t="shared" si="33"/>
        <v>0</v>
      </c>
      <c r="AT16" s="111">
        <f t="shared" si="33"/>
        <v>0</v>
      </c>
      <c r="AU16" s="111">
        <f t="shared" si="33"/>
        <v>0</v>
      </c>
      <c r="AV16" s="111">
        <f t="shared" si="33"/>
        <v>0</v>
      </c>
      <c r="AW16" s="111">
        <f t="shared" si="33"/>
        <v>0</v>
      </c>
      <c r="AX16" s="111">
        <f t="shared" si="33"/>
        <v>0</v>
      </c>
      <c r="AY16" s="111">
        <f t="shared" si="33"/>
        <v>0</v>
      </c>
      <c r="AZ16" s="111">
        <f t="shared" si="33"/>
        <v>0</v>
      </c>
      <c r="BA16" s="111">
        <f t="shared" si="33"/>
        <v>0</v>
      </c>
      <c r="BB16" s="111">
        <f t="shared" si="33"/>
        <v>0</v>
      </c>
      <c r="BC16" s="111">
        <f t="shared" si="33"/>
        <v>0</v>
      </c>
      <c r="BD16" s="111">
        <f t="shared" si="33"/>
        <v>0</v>
      </c>
      <c r="BE16" s="111">
        <f t="shared" si="33"/>
        <v>0</v>
      </c>
      <c r="BF16" s="111">
        <f t="shared" si="33"/>
        <v>0</v>
      </c>
      <c r="BG16" s="111">
        <f t="shared" si="33"/>
        <v>0</v>
      </c>
      <c r="BH16" s="111">
        <f t="shared" si="33"/>
        <v>0</v>
      </c>
      <c r="BI16" s="111">
        <f t="shared" si="33"/>
        <v>0</v>
      </c>
      <c r="BJ16" s="111">
        <f t="shared" si="33"/>
        <v>0</v>
      </c>
    </row>
    <row r="17" spans="1:63" s="10" customFormat="1">
      <c r="A17" s="101" t="s">
        <v>255</v>
      </c>
      <c r="B17" s="111">
        <f>BJ17</f>
        <v>42801.666666666672</v>
      </c>
      <c r="C17" s="111">
        <f>C16</f>
        <v>0</v>
      </c>
      <c r="D17" s="111">
        <f>C17+D16</f>
        <v>8560.3333333333339</v>
      </c>
      <c r="E17" s="111">
        <f t="shared" ref="E17:AL17" si="34">D17+E16</f>
        <v>17120.666666666668</v>
      </c>
      <c r="F17" s="111">
        <f t="shared" si="34"/>
        <v>25681</v>
      </c>
      <c r="G17" s="111">
        <f t="shared" si="34"/>
        <v>34241.333333333336</v>
      </c>
      <c r="H17" s="111">
        <f t="shared" si="34"/>
        <v>42801.666666666672</v>
      </c>
      <c r="I17" s="111">
        <f t="shared" si="34"/>
        <v>42801.666666666672</v>
      </c>
      <c r="J17" s="111">
        <f t="shared" si="34"/>
        <v>42801.666666666672</v>
      </c>
      <c r="K17" s="111">
        <f t="shared" si="34"/>
        <v>42801.666666666672</v>
      </c>
      <c r="L17" s="111">
        <f t="shared" si="34"/>
        <v>42801.666666666672</v>
      </c>
      <c r="M17" s="111">
        <f t="shared" si="34"/>
        <v>42801.666666666672</v>
      </c>
      <c r="N17" s="111">
        <f t="shared" si="34"/>
        <v>42801.666666666672</v>
      </c>
      <c r="O17" s="111">
        <f t="shared" si="34"/>
        <v>42801.666666666672</v>
      </c>
      <c r="P17" s="111">
        <f t="shared" si="34"/>
        <v>42801.666666666672</v>
      </c>
      <c r="Q17" s="111">
        <f t="shared" si="34"/>
        <v>42801.666666666672</v>
      </c>
      <c r="R17" s="111">
        <f t="shared" si="34"/>
        <v>42801.666666666672</v>
      </c>
      <c r="S17" s="111">
        <f t="shared" si="34"/>
        <v>42801.666666666672</v>
      </c>
      <c r="T17" s="111">
        <f t="shared" si="34"/>
        <v>42801.666666666672</v>
      </c>
      <c r="U17" s="111">
        <f t="shared" si="34"/>
        <v>42801.666666666672</v>
      </c>
      <c r="V17" s="111">
        <f t="shared" si="34"/>
        <v>42801.666666666672</v>
      </c>
      <c r="W17" s="111">
        <f t="shared" si="34"/>
        <v>42801.666666666672</v>
      </c>
      <c r="X17" s="111">
        <f t="shared" si="34"/>
        <v>42801.666666666672</v>
      </c>
      <c r="Y17" s="111">
        <f t="shared" si="34"/>
        <v>42801.666666666672</v>
      </c>
      <c r="Z17" s="111">
        <f t="shared" si="34"/>
        <v>42801.666666666672</v>
      </c>
      <c r="AA17" s="111">
        <f t="shared" si="34"/>
        <v>42801.666666666672</v>
      </c>
      <c r="AB17" s="111">
        <f t="shared" si="34"/>
        <v>42801.666666666672</v>
      </c>
      <c r="AC17" s="111">
        <f t="shared" si="34"/>
        <v>42801.666666666672</v>
      </c>
      <c r="AD17" s="111">
        <f t="shared" si="34"/>
        <v>42801.666666666672</v>
      </c>
      <c r="AE17" s="111">
        <f t="shared" si="34"/>
        <v>42801.666666666672</v>
      </c>
      <c r="AF17" s="111">
        <f t="shared" si="34"/>
        <v>42801.666666666672</v>
      </c>
      <c r="AG17" s="111">
        <f t="shared" si="34"/>
        <v>42801.666666666672</v>
      </c>
      <c r="AH17" s="111">
        <f t="shared" si="34"/>
        <v>42801.666666666672</v>
      </c>
      <c r="AI17" s="111">
        <f t="shared" si="34"/>
        <v>42801.666666666672</v>
      </c>
      <c r="AJ17" s="111">
        <f t="shared" si="34"/>
        <v>42801.666666666672</v>
      </c>
      <c r="AK17" s="111">
        <f t="shared" si="34"/>
        <v>42801.666666666672</v>
      </c>
      <c r="AL17" s="111">
        <f t="shared" si="34"/>
        <v>42801.666666666672</v>
      </c>
      <c r="AM17" s="111">
        <f t="shared" ref="AM17" si="35">AL17+AM16</f>
        <v>42801.666666666672</v>
      </c>
      <c r="AN17" s="111">
        <f t="shared" ref="AN17" si="36">AM17+AN16</f>
        <v>42801.666666666672</v>
      </c>
      <c r="AO17" s="111">
        <f t="shared" ref="AO17" si="37">AN17+AO16</f>
        <v>42801.666666666672</v>
      </c>
      <c r="AP17" s="111">
        <f t="shared" ref="AP17" si="38">AO17+AP16</f>
        <v>42801.666666666672</v>
      </c>
      <c r="AQ17" s="111">
        <f t="shared" ref="AQ17" si="39">AP17+AQ16</f>
        <v>42801.666666666672</v>
      </c>
      <c r="AR17" s="111">
        <f t="shared" ref="AR17" si="40">AQ17+AR16</f>
        <v>42801.666666666672</v>
      </c>
      <c r="AS17" s="111">
        <f t="shared" ref="AS17" si="41">AR17+AS16</f>
        <v>42801.666666666672</v>
      </c>
      <c r="AT17" s="111">
        <f t="shared" ref="AT17" si="42">AS17+AT16</f>
        <v>42801.666666666672</v>
      </c>
      <c r="AU17" s="111">
        <f t="shared" ref="AU17" si="43">AT17+AU16</f>
        <v>42801.666666666672</v>
      </c>
      <c r="AV17" s="111">
        <f t="shared" ref="AV17" si="44">AU17+AV16</f>
        <v>42801.666666666672</v>
      </c>
      <c r="AW17" s="111">
        <f t="shared" ref="AW17" si="45">AV17+AW16</f>
        <v>42801.666666666672</v>
      </c>
      <c r="AX17" s="111">
        <f t="shared" ref="AX17" si="46">AW17+AX16</f>
        <v>42801.666666666672</v>
      </c>
      <c r="AY17" s="111">
        <f t="shared" ref="AY17" si="47">AX17+AY16</f>
        <v>42801.666666666672</v>
      </c>
      <c r="AZ17" s="111">
        <f t="shared" ref="AZ17" si="48">AY17+AZ16</f>
        <v>42801.666666666672</v>
      </c>
      <c r="BA17" s="111">
        <f t="shared" ref="BA17" si="49">AZ17+BA16</f>
        <v>42801.666666666672</v>
      </c>
      <c r="BB17" s="111">
        <f t="shared" ref="BB17" si="50">BA17+BB16</f>
        <v>42801.666666666672</v>
      </c>
      <c r="BC17" s="111">
        <f t="shared" ref="BC17" si="51">BB17+BC16</f>
        <v>42801.666666666672</v>
      </c>
      <c r="BD17" s="111">
        <f t="shared" ref="BD17" si="52">BC17+BD16</f>
        <v>42801.666666666672</v>
      </c>
      <c r="BE17" s="111">
        <f t="shared" ref="BE17" si="53">BD17+BE16</f>
        <v>42801.666666666672</v>
      </c>
      <c r="BF17" s="111">
        <f t="shared" ref="BF17" si="54">BE17+BF16</f>
        <v>42801.666666666672</v>
      </c>
      <c r="BG17" s="111">
        <f t="shared" ref="BG17" si="55">BF17+BG16</f>
        <v>42801.666666666672</v>
      </c>
      <c r="BH17" s="111">
        <f t="shared" ref="BH17" si="56">BG17+BH16</f>
        <v>42801.666666666672</v>
      </c>
      <c r="BI17" s="111">
        <f t="shared" ref="BI17" si="57">BH17+BI16</f>
        <v>42801.666666666672</v>
      </c>
      <c r="BJ17" s="111">
        <f t="shared" ref="BJ17" si="58">BI17+BJ16</f>
        <v>42801.666666666672</v>
      </c>
    </row>
    <row r="18" spans="1:63">
      <c r="A18" s="15"/>
      <c r="B18" s="27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</row>
    <row r="19" spans="1:63" s="3" customFormat="1">
      <c r="A19" s="62" t="s">
        <v>263</v>
      </c>
      <c r="B19" s="63" t="str">
        <f t="shared" ref="B19:AG19" si="59">B13</f>
        <v>Всього</v>
      </c>
      <c r="C19" s="63">
        <f t="shared" si="59"/>
        <v>44562</v>
      </c>
      <c r="D19" s="63">
        <f t="shared" si="59"/>
        <v>44593</v>
      </c>
      <c r="E19" s="63">
        <f t="shared" si="59"/>
        <v>44621</v>
      </c>
      <c r="F19" s="63">
        <f t="shared" ref="F19" si="60">F13</f>
        <v>44652</v>
      </c>
      <c r="G19" s="63">
        <f t="shared" si="59"/>
        <v>44682</v>
      </c>
      <c r="H19" s="63">
        <f t="shared" si="59"/>
        <v>44713</v>
      </c>
      <c r="I19" s="63">
        <f t="shared" si="59"/>
        <v>44743</v>
      </c>
      <c r="J19" s="63">
        <f t="shared" si="59"/>
        <v>44774</v>
      </c>
      <c r="K19" s="63">
        <f t="shared" si="59"/>
        <v>44805</v>
      </c>
      <c r="L19" s="63">
        <f t="shared" si="59"/>
        <v>44835</v>
      </c>
      <c r="M19" s="63">
        <f t="shared" si="59"/>
        <v>44866</v>
      </c>
      <c r="N19" s="63">
        <f t="shared" si="59"/>
        <v>44896</v>
      </c>
      <c r="O19" s="63">
        <f t="shared" si="59"/>
        <v>44927</v>
      </c>
      <c r="P19" s="63">
        <f t="shared" si="59"/>
        <v>44958</v>
      </c>
      <c r="Q19" s="63">
        <f t="shared" si="59"/>
        <v>44986</v>
      </c>
      <c r="R19" s="63">
        <f t="shared" si="59"/>
        <v>45017</v>
      </c>
      <c r="S19" s="63">
        <f t="shared" si="59"/>
        <v>45047</v>
      </c>
      <c r="T19" s="63">
        <f t="shared" si="59"/>
        <v>45078</v>
      </c>
      <c r="U19" s="63">
        <f t="shared" si="59"/>
        <v>45108</v>
      </c>
      <c r="V19" s="63">
        <f t="shared" si="59"/>
        <v>45139</v>
      </c>
      <c r="W19" s="63">
        <f t="shared" si="59"/>
        <v>45170</v>
      </c>
      <c r="X19" s="63">
        <f t="shared" si="59"/>
        <v>45200</v>
      </c>
      <c r="Y19" s="63">
        <f t="shared" si="59"/>
        <v>45231</v>
      </c>
      <c r="Z19" s="63">
        <f t="shared" si="59"/>
        <v>45261</v>
      </c>
      <c r="AA19" s="63">
        <f t="shared" si="59"/>
        <v>45292</v>
      </c>
      <c r="AB19" s="63">
        <f t="shared" si="59"/>
        <v>45323</v>
      </c>
      <c r="AC19" s="63">
        <f t="shared" si="59"/>
        <v>45352</v>
      </c>
      <c r="AD19" s="63">
        <f t="shared" si="59"/>
        <v>45383</v>
      </c>
      <c r="AE19" s="63">
        <f t="shared" si="59"/>
        <v>45413</v>
      </c>
      <c r="AF19" s="63">
        <f t="shared" si="59"/>
        <v>45444</v>
      </c>
      <c r="AG19" s="63">
        <f t="shared" si="59"/>
        <v>45474</v>
      </c>
      <c r="AH19" s="63">
        <f t="shared" ref="AH19:AL19" si="61">AH13</f>
        <v>45505</v>
      </c>
      <c r="AI19" s="63">
        <f t="shared" si="61"/>
        <v>45536</v>
      </c>
      <c r="AJ19" s="63">
        <f t="shared" si="61"/>
        <v>45566</v>
      </c>
      <c r="AK19" s="63">
        <f t="shared" si="61"/>
        <v>45597</v>
      </c>
      <c r="AL19" s="63">
        <f t="shared" si="61"/>
        <v>45627</v>
      </c>
      <c r="AM19" s="63">
        <f t="shared" ref="AM19:BJ19" si="62">AM13</f>
        <v>45658</v>
      </c>
      <c r="AN19" s="63">
        <f t="shared" si="62"/>
        <v>45689</v>
      </c>
      <c r="AO19" s="63">
        <f t="shared" si="62"/>
        <v>45717</v>
      </c>
      <c r="AP19" s="63">
        <f t="shared" si="62"/>
        <v>45748</v>
      </c>
      <c r="AQ19" s="63">
        <f t="shared" si="62"/>
        <v>45778</v>
      </c>
      <c r="AR19" s="63">
        <f t="shared" si="62"/>
        <v>45809</v>
      </c>
      <c r="AS19" s="63">
        <f t="shared" si="62"/>
        <v>45839</v>
      </c>
      <c r="AT19" s="63">
        <f t="shared" si="62"/>
        <v>45870</v>
      </c>
      <c r="AU19" s="63">
        <f t="shared" si="62"/>
        <v>45901</v>
      </c>
      <c r="AV19" s="63">
        <f t="shared" si="62"/>
        <v>45931</v>
      </c>
      <c r="AW19" s="63">
        <f t="shared" si="62"/>
        <v>45962</v>
      </c>
      <c r="AX19" s="63">
        <f t="shared" si="62"/>
        <v>45992</v>
      </c>
      <c r="AY19" s="63">
        <f t="shared" si="62"/>
        <v>46023</v>
      </c>
      <c r="AZ19" s="63">
        <f t="shared" si="62"/>
        <v>46054</v>
      </c>
      <c r="BA19" s="63">
        <f t="shared" si="62"/>
        <v>46082</v>
      </c>
      <c r="BB19" s="63">
        <f t="shared" si="62"/>
        <v>46113</v>
      </c>
      <c r="BC19" s="63">
        <f t="shared" si="62"/>
        <v>46143</v>
      </c>
      <c r="BD19" s="63">
        <f t="shared" si="62"/>
        <v>46174</v>
      </c>
      <c r="BE19" s="63">
        <f t="shared" si="62"/>
        <v>46204</v>
      </c>
      <c r="BF19" s="63">
        <f t="shared" si="62"/>
        <v>46235</v>
      </c>
      <c r="BG19" s="63">
        <f t="shared" si="62"/>
        <v>46266</v>
      </c>
      <c r="BH19" s="63">
        <f t="shared" si="62"/>
        <v>46296</v>
      </c>
      <c r="BI19" s="63">
        <f t="shared" si="62"/>
        <v>46327</v>
      </c>
      <c r="BJ19" s="63">
        <f t="shared" si="62"/>
        <v>46357</v>
      </c>
    </row>
    <row r="20" spans="1:63">
      <c r="A20" s="69" t="s">
        <v>264</v>
      </c>
      <c r="B20" s="72">
        <f t="shared" ref="B20:B29" si="63">SUM(C20:BJ20)</f>
        <v>439006.98010000016</v>
      </c>
      <c r="C20" s="70">
        <f>SUM(C22:C25)</f>
        <v>439006.98010000016</v>
      </c>
      <c r="D20" s="70">
        <f>SUM(D22:D25)</f>
        <v>0</v>
      </c>
      <c r="E20" s="70">
        <f t="shared" ref="E20:J20" si="64">SUM(E22:E25)</f>
        <v>0</v>
      </c>
      <c r="F20" s="70">
        <f t="shared" ref="F20" si="65">SUM(F22:F25)</f>
        <v>0</v>
      </c>
      <c r="G20" s="70">
        <f t="shared" si="64"/>
        <v>0</v>
      </c>
      <c r="H20" s="70">
        <f t="shared" si="64"/>
        <v>0</v>
      </c>
      <c r="I20" s="70">
        <f>SUM(I22:I25)</f>
        <v>0</v>
      </c>
      <c r="J20" s="70">
        <f t="shared" si="64"/>
        <v>0</v>
      </c>
      <c r="K20" s="70">
        <f t="shared" ref="K20:AL20" si="66">SUM(K22:K25)</f>
        <v>0</v>
      </c>
      <c r="L20" s="70">
        <f t="shared" si="66"/>
        <v>0</v>
      </c>
      <c r="M20" s="70">
        <f t="shared" si="66"/>
        <v>0</v>
      </c>
      <c r="N20" s="70">
        <f t="shared" si="66"/>
        <v>0</v>
      </c>
      <c r="O20" s="70">
        <f t="shared" si="66"/>
        <v>0</v>
      </c>
      <c r="P20" s="70">
        <f t="shared" si="66"/>
        <v>0</v>
      </c>
      <c r="Q20" s="70">
        <f t="shared" si="66"/>
        <v>0</v>
      </c>
      <c r="R20" s="70">
        <f t="shared" si="66"/>
        <v>0</v>
      </c>
      <c r="S20" s="70">
        <f t="shared" si="66"/>
        <v>0</v>
      </c>
      <c r="T20" s="70">
        <f t="shared" si="66"/>
        <v>0</v>
      </c>
      <c r="U20" s="70">
        <f t="shared" si="66"/>
        <v>0</v>
      </c>
      <c r="V20" s="70">
        <f t="shared" si="66"/>
        <v>0</v>
      </c>
      <c r="W20" s="70">
        <f t="shared" si="66"/>
        <v>0</v>
      </c>
      <c r="X20" s="70">
        <f t="shared" si="66"/>
        <v>0</v>
      </c>
      <c r="Y20" s="70">
        <f t="shared" si="66"/>
        <v>0</v>
      </c>
      <c r="Z20" s="70">
        <f t="shared" si="66"/>
        <v>0</v>
      </c>
      <c r="AA20" s="70">
        <f t="shared" si="66"/>
        <v>0</v>
      </c>
      <c r="AB20" s="70">
        <f t="shared" si="66"/>
        <v>0</v>
      </c>
      <c r="AC20" s="70">
        <f t="shared" si="66"/>
        <v>0</v>
      </c>
      <c r="AD20" s="70">
        <f t="shared" si="66"/>
        <v>0</v>
      </c>
      <c r="AE20" s="70">
        <f t="shared" si="66"/>
        <v>0</v>
      </c>
      <c r="AF20" s="70">
        <f t="shared" si="66"/>
        <v>0</v>
      </c>
      <c r="AG20" s="70">
        <f t="shared" si="66"/>
        <v>0</v>
      </c>
      <c r="AH20" s="70">
        <f t="shared" si="66"/>
        <v>0</v>
      </c>
      <c r="AI20" s="70">
        <f t="shared" si="66"/>
        <v>0</v>
      </c>
      <c r="AJ20" s="70">
        <f t="shared" si="66"/>
        <v>0</v>
      </c>
      <c r="AK20" s="70">
        <f t="shared" si="66"/>
        <v>0</v>
      </c>
      <c r="AL20" s="70">
        <f t="shared" si="66"/>
        <v>0</v>
      </c>
      <c r="AM20" s="70">
        <f>SUM(AM22:AM25)</f>
        <v>0</v>
      </c>
      <c r="AN20" s="70">
        <f t="shared" ref="AN20:BJ20" si="67">SUM(AN22:AN25)</f>
        <v>0</v>
      </c>
      <c r="AO20" s="70">
        <f t="shared" si="67"/>
        <v>0</v>
      </c>
      <c r="AP20" s="70">
        <f t="shared" si="67"/>
        <v>0</v>
      </c>
      <c r="AQ20" s="70">
        <f t="shared" si="67"/>
        <v>0</v>
      </c>
      <c r="AR20" s="70">
        <f t="shared" si="67"/>
        <v>0</v>
      </c>
      <c r="AS20" s="70">
        <f t="shared" si="67"/>
        <v>0</v>
      </c>
      <c r="AT20" s="70">
        <f t="shared" si="67"/>
        <v>0</v>
      </c>
      <c r="AU20" s="70">
        <f t="shared" si="67"/>
        <v>0</v>
      </c>
      <c r="AV20" s="70">
        <f t="shared" si="67"/>
        <v>0</v>
      </c>
      <c r="AW20" s="70">
        <f t="shared" si="67"/>
        <v>0</v>
      </c>
      <c r="AX20" s="70">
        <f t="shared" si="67"/>
        <v>0</v>
      </c>
      <c r="AY20" s="70">
        <f t="shared" si="67"/>
        <v>0</v>
      </c>
      <c r="AZ20" s="70">
        <f t="shared" si="67"/>
        <v>0</v>
      </c>
      <c r="BA20" s="70">
        <f t="shared" si="67"/>
        <v>0</v>
      </c>
      <c r="BB20" s="70">
        <f t="shared" si="67"/>
        <v>0</v>
      </c>
      <c r="BC20" s="70">
        <f t="shared" si="67"/>
        <v>0</v>
      </c>
      <c r="BD20" s="70">
        <f t="shared" si="67"/>
        <v>0</v>
      </c>
      <c r="BE20" s="70">
        <f t="shared" si="67"/>
        <v>0</v>
      </c>
      <c r="BF20" s="70">
        <f t="shared" si="67"/>
        <v>0</v>
      </c>
      <c r="BG20" s="70">
        <f t="shared" si="67"/>
        <v>0</v>
      </c>
      <c r="BH20" s="70">
        <f t="shared" si="67"/>
        <v>0</v>
      </c>
      <c r="BI20" s="70">
        <f t="shared" si="67"/>
        <v>0</v>
      </c>
      <c r="BJ20" s="70">
        <f t="shared" si="67"/>
        <v>0</v>
      </c>
    </row>
    <row r="21" spans="1:63" s="221" customFormat="1">
      <c r="A21" s="219" t="s">
        <v>265</v>
      </c>
      <c r="B21" s="72">
        <f t="shared" si="63"/>
        <v>439006.98010000016</v>
      </c>
      <c r="C21" s="267">
        <v>439006.98010000016</v>
      </c>
      <c r="D21" s="220"/>
      <c r="E21" s="220"/>
      <c r="F21" s="220"/>
      <c r="G21" s="220"/>
      <c r="H21" s="220"/>
      <c r="I21" s="220"/>
      <c r="J21" s="220">
        <v>0</v>
      </c>
      <c r="K21" s="220">
        <v>0</v>
      </c>
      <c r="L21" s="220">
        <v>0</v>
      </c>
      <c r="M21" s="220">
        <v>0</v>
      </c>
      <c r="N21" s="220">
        <v>0</v>
      </c>
      <c r="O21" s="220">
        <v>0</v>
      </c>
      <c r="P21" s="220">
        <v>0</v>
      </c>
      <c r="Q21" s="220">
        <v>0</v>
      </c>
      <c r="R21" s="220">
        <v>0</v>
      </c>
      <c r="S21" s="220">
        <v>0</v>
      </c>
      <c r="T21" s="220">
        <v>0</v>
      </c>
      <c r="U21" s="220">
        <v>0</v>
      </c>
      <c r="V21" s="220">
        <v>0</v>
      </c>
      <c r="W21" s="220">
        <v>0</v>
      </c>
      <c r="X21" s="220">
        <v>0</v>
      </c>
      <c r="Y21" s="220">
        <v>0</v>
      </c>
      <c r="Z21" s="220">
        <v>0</v>
      </c>
      <c r="AA21" s="220">
        <v>0</v>
      </c>
      <c r="AB21" s="220">
        <v>0</v>
      </c>
      <c r="AC21" s="220">
        <v>0</v>
      </c>
      <c r="AD21" s="220">
        <v>0</v>
      </c>
      <c r="AE21" s="220">
        <v>0</v>
      </c>
      <c r="AF21" s="220">
        <v>0</v>
      </c>
      <c r="AG21" s="220">
        <v>0</v>
      </c>
      <c r="AH21" s="220">
        <v>0</v>
      </c>
      <c r="AI21" s="220">
        <v>0</v>
      </c>
      <c r="AJ21" s="220">
        <v>0</v>
      </c>
      <c r="AK21" s="220">
        <v>0</v>
      </c>
      <c r="AL21" s="220">
        <v>0</v>
      </c>
      <c r="AM21" s="220">
        <v>0</v>
      </c>
      <c r="AN21" s="220">
        <v>0</v>
      </c>
      <c r="AO21" s="220">
        <v>0</v>
      </c>
      <c r="AP21" s="220">
        <v>0</v>
      </c>
      <c r="AQ21" s="220">
        <v>0</v>
      </c>
      <c r="AR21" s="220">
        <v>0</v>
      </c>
      <c r="AS21" s="220">
        <v>0</v>
      </c>
      <c r="AT21" s="220">
        <v>0</v>
      </c>
      <c r="AU21" s="220">
        <v>0</v>
      </c>
      <c r="AV21" s="220">
        <v>0</v>
      </c>
      <c r="AW21" s="220">
        <v>0</v>
      </c>
      <c r="AX21" s="220">
        <v>0</v>
      </c>
      <c r="AY21" s="220">
        <v>0</v>
      </c>
      <c r="AZ21" s="220">
        <v>0</v>
      </c>
      <c r="BA21" s="220">
        <v>0</v>
      </c>
      <c r="BB21" s="220">
        <v>0</v>
      </c>
      <c r="BC21" s="220">
        <v>0</v>
      </c>
      <c r="BD21" s="220">
        <v>0</v>
      </c>
      <c r="BE21" s="220">
        <v>0</v>
      </c>
      <c r="BF21" s="220">
        <v>0</v>
      </c>
      <c r="BG21" s="220">
        <v>0</v>
      </c>
      <c r="BH21" s="220">
        <v>0</v>
      </c>
      <c r="BI21" s="220">
        <v>0</v>
      </c>
      <c r="BJ21" s="220">
        <v>0</v>
      </c>
    </row>
    <row r="22" spans="1:63" s="6" customFormat="1" ht="12">
      <c r="A22" s="19" t="s">
        <v>266</v>
      </c>
      <c r="B22" s="72">
        <f t="shared" si="63"/>
        <v>439006.98010000016</v>
      </c>
      <c r="C22" s="100">
        <f>C21-C24</f>
        <v>439006.98010000016</v>
      </c>
      <c r="D22" s="100">
        <f t="shared" ref="D22:AL22" si="68">D21-D24</f>
        <v>0</v>
      </c>
      <c r="E22" s="100">
        <f t="shared" si="68"/>
        <v>0</v>
      </c>
      <c r="F22" s="100">
        <f t="shared" ref="F22" si="69">F21-F24</f>
        <v>0</v>
      </c>
      <c r="G22" s="100">
        <f t="shared" si="68"/>
        <v>0</v>
      </c>
      <c r="H22" s="100">
        <f t="shared" si="68"/>
        <v>0</v>
      </c>
      <c r="I22" s="100">
        <f t="shared" si="68"/>
        <v>0</v>
      </c>
      <c r="J22" s="100">
        <f t="shared" si="68"/>
        <v>0</v>
      </c>
      <c r="K22" s="100">
        <f t="shared" si="68"/>
        <v>0</v>
      </c>
      <c r="L22" s="100">
        <f t="shared" si="68"/>
        <v>0</v>
      </c>
      <c r="M22" s="100">
        <f t="shared" si="68"/>
        <v>0</v>
      </c>
      <c r="N22" s="100">
        <f t="shared" si="68"/>
        <v>0</v>
      </c>
      <c r="O22" s="100">
        <f t="shared" si="68"/>
        <v>0</v>
      </c>
      <c r="P22" s="100">
        <f t="shared" si="68"/>
        <v>0</v>
      </c>
      <c r="Q22" s="100">
        <f t="shared" si="68"/>
        <v>0</v>
      </c>
      <c r="R22" s="100">
        <f t="shared" si="68"/>
        <v>0</v>
      </c>
      <c r="S22" s="100">
        <f t="shared" si="68"/>
        <v>0</v>
      </c>
      <c r="T22" s="100">
        <f t="shared" si="68"/>
        <v>0</v>
      </c>
      <c r="U22" s="100">
        <f t="shared" si="68"/>
        <v>0</v>
      </c>
      <c r="V22" s="100">
        <f t="shared" si="68"/>
        <v>0</v>
      </c>
      <c r="W22" s="100">
        <f t="shared" si="68"/>
        <v>0</v>
      </c>
      <c r="X22" s="100">
        <f t="shared" si="68"/>
        <v>0</v>
      </c>
      <c r="Y22" s="100">
        <f t="shared" si="68"/>
        <v>0</v>
      </c>
      <c r="Z22" s="100">
        <f t="shared" si="68"/>
        <v>0</v>
      </c>
      <c r="AA22" s="100">
        <f t="shared" si="68"/>
        <v>0</v>
      </c>
      <c r="AB22" s="100">
        <f t="shared" si="68"/>
        <v>0</v>
      </c>
      <c r="AC22" s="100">
        <f t="shared" si="68"/>
        <v>0</v>
      </c>
      <c r="AD22" s="100">
        <f t="shared" si="68"/>
        <v>0</v>
      </c>
      <c r="AE22" s="100">
        <f t="shared" si="68"/>
        <v>0</v>
      </c>
      <c r="AF22" s="100">
        <f t="shared" si="68"/>
        <v>0</v>
      </c>
      <c r="AG22" s="100">
        <f t="shared" si="68"/>
        <v>0</v>
      </c>
      <c r="AH22" s="100">
        <f t="shared" si="68"/>
        <v>0</v>
      </c>
      <c r="AI22" s="100">
        <f t="shared" si="68"/>
        <v>0</v>
      </c>
      <c r="AJ22" s="100">
        <f t="shared" si="68"/>
        <v>0</v>
      </c>
      <c r="AK22" s="100">
        <f t="shared" si="68"/>
        <v>0</v>
      </c>
      <c r="AL22" s="100">
        <f t="shared" si="68"/>
        <v>0</v>
      </c>
      <c r="AM22" s="100">
        <f t="shared" ref="AM22:BJ22" si="70">AM21-AM24</f>
        <v>0</v>
      </c>
      <c r="AN22" s="100">
        <f t="shared" si="70"/>
        <v>0</v>
      </c>
      <c r="AO22" s="100">
        <f t="shared" si="70"/>
        <v>0</v>
      </c>
      <c r="AP22" s="100">
        <f t="shared" si="70"/>
        <v>0</v>
      </c>
      <c r="AQ22" s="100">
        <f t="shared" si="70"/>
        <v>0</v>
      </c>
      <c r="AR22" s="100">
        <f t="shared" si="70"/>
        <v>0</v>
      </c>
      <c r="AS22" s="100">
        <f t="shared" si="70"/>
        <v>0</v>
      </c>
      <c r="AT22" s="100">
        <f t="shared" si="70"/>
        <v>0</v>
      </c>
      <c r="AU22" s="100">
        <f t="shared" si="70"/>
        <v>0</v>
      </c>
      <c r="AV22" s="100">
        <f t="shared" si="70"/>
        <v>0</v>
      </c>
      <c r="AW22" s="100">
        <f t="shared" si="70"/>
        <v>0</v>
      </c>
      <c r="AX22" s="100">
        <f t="shared" si="70"/>
        <v>0</v>
      </c>
      <c r="AY22" s="100">
        <f t="shared" si="70"/>
        <v>0</v>
      </c>
      <c r="AZ22" s="100">
        <f t="shared" si="70"/>
        <v>0</v>
      </c>
      <c r="BA22" s="100">
        <f t="shared" si="70"/>
        <v>0</v>
      </c>
      <c r="BB22" s="100">
        <f t="shared" si="70"/>
        <v>0</v>
      </c>
      <c r="BC22" s="100">
        <f t="shared" si="70"/>
        <v>0</v>
      </c>
      <c r="BD22" s="100">
        <f t="shared" si="70"/>
        <v>0</v>
      </c>
      <c r="BE22" s="100">
        <f t="shared" si="70"/>
        <v>0</v>
      </c>
      <c r="BF22" s="100">
        <f t="shared" si="70"/>
        <v>0</v>
      </c>
      <c r="BG22" s="100">
        <f t="shared" si="70"/>
        <v>0</v>
      </c>
      <c r="BH22" s="100">
        <f t="shared" si="70"/>
        <v>0</v>
      </c>
      <c r="BI22" s="100">
        <f t="shared" si="70"/>
        <v>0</v>
      </c>
      <c r="BJ22" s="100">
        <f t="shared" si="70"/>
        <v>0</v>
      </c>
    </row>
    <row r="23" spans="1:63" s="6" customFormat="1" ht="12">
      <c r="A23" s="19" t="s">
        <v>267</v>
      </c>
      <c r="B23" s="72">
        <f t="shared" si="63"/>
        <v>0</v>
      </c>
      <c r="C23" s="100">
        <f>IF(C10+C16-C26+C22+C24&lt;0,-(C10+C16-C26+C22+C24),0)</f>
        <v>0</v>
      </c>
      <c r="D23" s="100">
        <f t="shared" ref="D23" si="71">IF(D10+D16-D26+D22+D24+C35&lt;0,-(D10+D16-D26+D22+D24+C35),0)</f>
        <v>0</v>
      </c>
      <c r="E23" s="100">
        <f t="shared" ref="E23" si="72">IF(E10+E16-E26+E22+E24+D35&lt;0,-(E10+E16-E26+E22+E24+D35),0)</f>
        <v>0</v>
      </c>
      <c r="F23" s="100">
        <f t="shared" ref="F23" si="73">IF(F10+F16-F26+F22+F24+E35&lt;0,-(F10+F16-F26+F22+F24+E35),0)</f>
        <v>0</v>
      </c>
      <c r="G23" s="100">
        <f t="shared" ref="G23" si="74">IF(G10+G16-G26+G22+G24+F35&lt;0,-(G10+G16-G26+G22+G24+F35),0)</f>
        <v>0</v>
      </c>
      <c r="H23" s="100">
        <f t="shared" ref="H23:AL23" si="75">IF(H10+H16-H26+H22+H24+G35&lt;0,-(H10+H16-H26+H22+H24+G35),0)</f>
        <v>0</v>
      </c>
      <c r="I23" s="100">
        <f t="shared" si="75"/>
        <v>0</v>
      </c>
      <c r="J23" s="100">
        <f t="shared" si="75"/>
        <v>0</v>
      </c>
      <c r="K23" s="100">
        <f t="shared" si="75"/>
        <v>0</v>
      </c>
      <c r="L23" s="100">
        <f t="shared" si="75"/>
        <v>0</v>
      </c>
      <c r="M23" s="100">
        <f t="shared" si="75"/>
        <v>0</v>
      </c>
      <c r="N23" s="100">
        <f t="shared" si="75"/>
        <v>0</v>
      </c>
      <c r="O23" s="100">
        <f t="shared" si="75"/>
        <v>0</v>
      </c>
      <c r="P23" s="100">
        <f t="shared" si="75"/>
        <v>0</v>
      </c>
      <c r="Q23" s="100">
        <f t="shared" si="75"/>
        <v>0</v>
      </c>
      <c r="R23" s="100">
        <f t="shared" si="75"/>
        <v>0</v>
      </c>
      <c r="S23" s="100">
        <f t="shared" si="75"/>
        <v>0</v>
      </c>
      <c r="T23" s="100">
        <f t="shared" si="75"/>
        <v>0</v>
      </c>
      <c r="U23" s="100">
        <f t="shared" si="75"/>
        <v>0</v>
      </c>
      <c r="V23" s="100">
        <f t="shared" si="75"/>
        <v>0</v>
      </c>
      <c r="W23" s="100">
        <f t="shared" si="75"/>
        <v>0</v>
      </c>
      <c r="X23" s="100">
        <f t="shared" si="75"/>
        <v>0</v>
      </c>
      <c r="Y23" s="100">
        <f t="shared" si="75"/>
        <v>0</v>
      </c>
      <c r="Z23" s="100">
        <f t="shared" si="75"/>
        <v>0</v>
      </c>
      <c r="AA23" s="100">
        <f t="shared" si="75"/>
        <v>0</v>
      </c>
      <c r="AB23" s="100">
        <f t="shared" si="75"/>
        <v>0</v>
      </c>
      <c r="AC23" s="100">
        <f t="shared" si="75"/>
        <v>0</v>
      </c>
      <c r="AD23" s="100">
        <f t="shared" si="75"/>
        <v>0</v>
      </c>
      <c r="AE23" s="100">
        <f t="shared" si="75"/>
        <v>0</v>
      </c>
      <c r="AF23" s="100">
        <f t="shared" si="75"/>
        <v>0</v>
      </c>
      <c r="AG23" s="100">
        <f t="shared" si="75"/>
        <v>0</v>
      </c>
      <c r="AH23" s="100">
        <f t="shared" si="75"/>
        <v>0</v>
      </c>
      <c r="AI23" s="100">
        <f t="shared" si="75"/>
        <v>0</v>
      </c>
      <c r="AJ23" s="100">
        <f t="shared" si="75"/>
        <v>0</v>
      </c>
      <c r="AK23" s="100">
        <f t="shared" si="75"/>
        <v>0</v>
      </c>
      <c r="AL23" s="100">
        <f t="shared" si="75"/>
        <v>0</v>
      </c>
      <c r="AM23" s="100">
        <f t="shared" ref="AM23" si="76">IF(AM10+AM16-AM26+AM22+AM24+AL35&lt;0,-(AM10+AM16-AM26+AM22+AM24+AL35),0)</f>
        <v>0</v>
      </c>
      <c r="AN23" s="100">
        <f t="shared" ref="AN23" si="77">IF(AN10+AN16-AN26+AN22+AN24+AM35&lt;0,-(AN10+AN16-AN26+AN22+AN24+AM35),0)</f>
        <v>0</v>
      </c>
      <c r="AO23" s="100">
        <f t="shared" ref="AO23" si="78">IF(AO10+AO16-AO26+AO22+AO24+AN35&lt;0,-(AO10+AO16-AO26+AO22+AO24+AN35),0)</f>
        <v>0</v>
      </c>
      <c r="AP23" s="100">
        <f t="shared" ref="AP23" si="79">IF(AP10+AP16-AP26+AP22+AP24+AO35&lt;0,-(AP10+AP16-AP26+AP22+AP24+AO35),0)</f>
        <v>0</v>
      </c>
      <c r="AQ23" s="100">
        <f t="shared" ref="AQ23" si="80">IF(AQ10+AQ16-AQ26+AQ22+AQ24+AP35&lt;0,-(AQ10+AQ16-AQ26+AQ22+AQ24+AP35),0)</f>
        <v>0</v>
      </c>
      <c r="AR23" s="100">
        <f t="shared" ref="AR23" si="81">IF(AR10+AR16-AR26+AR22+AR24+AQ35&lt;0,-(AR10+AR16-AR26+AR22+AR24+AQ35),0)</f>
        <v>0</v>
      </c>
      <c r="AS23" s="100">
        <f t="shared" ref="AS23" si="82">IF(AS10+AS16-AS26+AS22+AS24+AR35&lt;0,-(AS10+AS16-AS26+AS22+AS24+AR35),0)</f>
        <v>0</v>
      </c>
      <c r="AT23" s="100">
        <f t="shared" ref="AT23" si="83">IF(AT10+AT16-AT26+AT22+AT24+AS35&lt;0,-(AT10+AT16-AT26+AT22+AT24+AS35),0)</f>
        <v>0</v>
      </c>
      <c r="AU23" s="100">
        <f t="shared" ref="AU23" si="84">IF(AU10+AU16-AU26+AU22+AU24+AT35&lt;0,-(AU10+AU16-AU26+AU22+AU24+AT35),0)</f>
        <v>0</v>
      </c>
      <c r="AV23" s="100">
        <f t="shared" ref="AV23" si="85">IF(AV10+AV16-AV26+AV22+AV24+AU35&lt;0,-(AV10+AV16-AV26+AV22+AV24+AU35),0)</f>
        <v>0</v>
      </c>
      <c r="AW23" s="100">
        <f t="shared" ref="AW23" si="86">IF(AW10+AW16-AW26+AW22+AW24+AV35&lt;0,-(AW10+AW16-AW26+AW22+AW24+AV35),0)</f>
        <v>0</v>
      </c>
      <c r="AX23" s="100">
        <f t="shared" ref="AX23" si="87">IF(AX10+AX16-AX26+AX22+AX24+AW35&lt;0,-(AX10+AX16-AX26+AX22+AX24+AW35),0)</f>
        <v>0</v>
      </c>
      <c r="AY23" s="100">
        <f t="shared" ref="AY23" si="88">IF(AY10+AY16-AY26+AY22+AY24+AX35&lt;0,-(AY10+AY16-AY26+AY22+AY24+AX35),0)</f>
        <v>0</v>
      </c>
      <c r="AZ23" s="100">
        <f t="shared" ref="AZ23" si="89">IF(AZ10+AZ16-AZ26+AZ22+AZ24+AY35&lt;0,-(AZ10+AZ16-AZ26+AZ22+AZ24+AY35),0)</f>
        <v>0</v>
      </c>
      <c r="BA23" s="100">
        <f t="shared" ref="BA23" si="90">IF(BA10+BA16-BA26+BA22+BA24+AZ35&lt;0,-(BA10+BA16-BA26+BA22+BA24+AZ35),0)</f>
        <v>0</v>
      </c>
      <c r="BB23" s="100">
        <f t="shared" ref="BB23" si="91">IF(BB10+BB16-BB26+BB22+BB24+BA35&lt;0,-(BB10+BB16-BB26+BB22+BB24+BA35),0)</f>
        <v>0</v>
      </c>
      <c r="BC23" s="100">
        <f t="shared" ref="BC23" si="92">IF(BC10+BC16-BC26+BC22+BC24+BB35&lt;0,-(BC10+BC16-BC26+BC22+BC24+BB35),0)</f>
        <v>0</v>
      </c>
      <c r="BD23" s="100">
        <f t="shared" ref="BD23" si="93">IF(BD10+BD16-BD26+BD22+BD24+BC35&lt;0,-(BD10+BD16-BD26+BD22+BD24+BC35),0)</f>
        <v>0</v>
      </c>
      <c r="BE23" s="100">
        <f t="shared" ref="BE23" si="94">IF(BE10+BE16-BE26+BE22+BE24+BD35&lt;0,-(BE10+BE16-BE26+BE22+BE24+BD35),0)</f>
        <v>0</v>
      </c>
      <c r="BF23" s="100">
        <f t="shared" ref="BF23" si="95">IF(BF10+BF16-BF26+BF22+BF24+BE35&lt;0,-(BF10+BF16-BF26+BF22+BF24+BE35),0)</f>
        <v>0</v>
      </c>
      <c r="BG23" s="100">
        <f t="shared" ref="BG23" si="96">IF(BG10+BG16-BG26+BG22+BG24+BF35&lt;0,-(BG10+BG16-BG26+BG22+BG24+BF35),0)</f>
        <v>0</v>
      </c>
      <c r="BH23" s="100">
        <f t="shared" ref="BH23" si="97">IF(BH10+BH16-BH26+BH22+BH24+BG35&lt;0,-(BH10+BH16-BH26+BH22+BH24+BG35),0)</f>
        <v>0</v>
      </c>
      <c r="BI23" s="100">
        <f t="shared" ref="BI23" si="98">IF(BI10+BI16-BI26+BI22+BI24+BH35&lt;0,-(BI10+BI16-BI26+BI22+BI24+BH35),0)</f>
        <v>0</v>
      </c>
      <c r="BJ23" s="100">
        <f t="shared" ref="BJ23" si="99">IF(BJ10+BJ16-BJ26+BJ22+BJ24+BI35&lt;0,-(BJ10+BJ16-BJ26+BJ22+BJ24+BI35),0)</f>
        <v>0</v>
      </c>
    </row>
    <row r="24" spans="1:63" s="6" customFormat="1" ht="12">
      <c r="A24" s="19" t="s">
        <v>125</v>
      </c>
      <c r="B24" s="72">
        <f t="shared" si="63"/>
        <v>0</v>
      </c>
      <c r="C24" s="100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0">
        <v>0</v>
      </c>
      <c r="M24" s="100">
        <v>0</v>
      </c>
      <c r="N24" s="100">
        <v>0</v>
      </c>
      <c r="O24" s="100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0</v>
      </c>
      <c r="U24" s="100">
        <v>0</v>
      </c>
      <c r="V24" s="100">
        <v>0</v>
      </c>
      <c r="W24" s="100">
        <v>0</v>
      </c>
      <c r="X24" s="100">
        <v>0</v>
      </c>
      <c r="Y24" s="100">
        <v>0</v>
      </c>
      <c r="Z24" s="100">
        <v>0</v>
      </c>
      <c r="AA24" s="100">
        <v>0</v>
      </c>
      <c r="AB24" s="100">
        <v>0</v>
      </c>
      <c r="AC24" s="100">
        <v>0</v>
      </c>
      <c r="AD24" s="100">
        <v>0</v>
      </c>
      <c r="AE24" s="100">
        <v>0</v>
      </c>
      <c r="AF24" s="100">
        <v>0</v>
      </c>
      <c r="AG24" s="100">
        <v>0</v>
      </c>
      <c r="AH24" s="100">
        <v>0</v>
      </c>
      <c r="AI24" s="100">
        <v>0</v>
      </c>
      <c r="AJ24" s="100">
        <v>0</v>
      </c>
      <c r="AK24" s="100">
        <v>0</v>
      </c>
      <c r="AL24" s="100">
        <v>0</v>
      </c>
      <c r="AM24" s="100">
        <v>0</v>
      </c>
      <c r="AN24" s="100">
        <v>0</v>
      </c>
      <c r="AO24" s="100">
        <v>0</v>
      </c>
      <c r="AP24" s="100">
        <v>0</v>
      </c>
      <c r="AQ24" s="100">
        <v>0</v>
      </c>
      <c r="AR24" s="100">
        <v>0</v>
      </c>
      <c r="AS24" s="100">
        <v>0</v>
      </c>
      <c r="AT24" s="100">
        <v>0</v>
      </c>
      <c r="AU24" s="100">
        <v>0</v>
      </c>
      <c r="AV24" s="100">
        <v>0</v>
      </c>
      <c r="AW24" s="100">
        <v>0</v>
      </c>
      <c r="AX24" s="100">
        <v>0</v>
      </c>
      <c r="AY24" s="100">
        <v>0</v>
      </c>
      <c r="AZ24" s="100">
        <v>0</v>
      </c>
      <c r="BA24" s="100">
        <v>0</v>
      </c>
      <c r="BB24" s="100">
        <v>0</v>
      </c>
      <c r="BC24" s="100">
        <v>0</v>
      </c>
      <c r="BD24" s="100">
        <v>0</v>
      </c>
      <c r="BE24" s="100">
        <v>0</v>
      </c>
      <c r="BF24" s="100">
        <v>0</v>
      </c>
      <c r="BG24" s="100">
        <v>0</v>
      </c>
      <c r="BH24" s="100">
        <v>0</v>
      </c>
      <c r="BI24" s="100">
        <v>0</v>
      </c>
      <c r="BJ24" s="100">
        <v>0</v>
      </c>
    </row>
    <row r="25" spans="1:63" s="6" customFormat="1" ht="12">
      <c r="A25" s="19" t="s">
        <v>268</v>
      </c>
      <c r="B25" s="72">
        <f t="shared" si="63"/>
        <v>0</v>
      </c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0</v>
      </c>
      <c r="M25" s="100">
        <v>0</v>
      </c>
      <c r="N25" s="100">
        <v>0</v>
      </c>
      <c r="O25" s="100">
        <v>0</v>
      </c>
      <c r="P25" s="100">
        <v>0</v>
      </c>
      <c r="Q25" s="100">
        <v>0</v>
      </c>
      <c r="R25" s="100">
        <v>0</v>
      </c>
      <c r="S25" s="100">
        <v>0</v>
      </c>
      <c r="T25" s="100">
        <v>0</v>
      </c>
      <c r="U25" s="100">
        <v>0</v>
      </c>
      <c r="V25" s="100">
        <v>0</v>
      </c>
      <c r="W25" s="100">
        <v>0</v>
      </c>
      <c r="X25" s="100">
        <v>0</v>
      </c>
      <c r="Y25" s="100">
        <v>0</v>
      </c>
      <c r="Z25" s="100">
        <v>0</v>
      </c>
      <c r="AA25" s="100">
        <v>0</v>
      </c>
      <c r="AB25" s="100">
        <v>0</v>
      </c>
      <c r="AC25" s="100">
        <v>0</v>
      </c>
      <c r="AD25" s="100">
        <v>0</v>
      </c>
      <c r="AE25" s="100">
        <v>0</v>
      </c>
      <c r="AF25" s="100">
        <v>0</v>
      </c>
      <c r="AG25" s="100">
        <v>0</v>
      </c>
      <c r="AH25" s="100">
        <v>0</v>
      </c>
      <c r="AI25" s="100">
        <v>0</v>
      </c>
      <c r="AJ25" s="100">
        <v>0</v>
      </c>
      <c r="AK25" s="100">
        <v>0</v>
      </c>
      <c r="AL25" s="100">
        <v>0</v>
      </c>
      <c r="AM25" s="100">
        <v>0</v>
      </c>
      <c r="AN25" s="100">
        <v>0</v>
      </c>
      <c r="AO25" s="100">
        <v>0</v>
      </c>
      <c r="AP25" s="100">
        <v>0</v>
      </c>
      <c r="AQ25" s="100">
        <v>0</v>
      </c>
      <c r="AR25" s="100">
        <v>0</v>
      </c>
      <c r="AS25" s="100">
        <v>0</v>
      </c>
      <c r="AT25" s="100">
        <v>0</v>
      </c>
      <c r="AU25" s="100">
        <v>0</v>
      </c>
      <c r="AV25" s="100">
        <v>0</v>
      </c>
      <c r="AW25" s="100">
        <v>0</v>
      </c>
      <c r="AX25" s="100">
        <v>0</v>
      </c>
      <c r="AY25" s="100">
        <v>0</v>
      </c>
      <c r="AZ25" s="100">
        <v>0</v>
      </c>
      <c r="BA25" s="100">
        <v>0</v>
      </c>
      <c r="BB25" s="100">
        <v>0</v>
      </c>
      <c r="BC25" s="100">
        <v>0</v>
      </c>
      <c r="BD25" s="100">
        <v>0</v>
      </c>
      <c r="BE25" s="100">
        <v>0</v>
      </c>
      <c r="BF25" s="100">
        <v>0</v>
      </c>
      <c r="BG25" s="100">
        <v>0</v>
      </c>
      <c r="BH25" s="100">
        <v>0</v>
      </c>
      <c r="BI25" s="100">
        <v>0</v>
      </c>
      <c r="BJ25" s="100">
        <v>0</v>
      </c>
    </row>
    <row r="26" spans="1:63">
      <c r="A26" s="69" t="s">
        <v>269</v>
      </c>
      <c r="B26" s="72">
        <f t="shared" si="63"/>
        <v>1349797.6</v>
      </c>
      <c r="C26" s="413">
        <f>SUM(C27:C28)</f>
        <v>27742.9</v>
      </c>
      <c r="D26" s="413">
        <f t="shared" ref="D26:AL26" si="100">SUM(D27:D28)</f>
        <v>27565</v>
      </c>
      <c r="E26" s="413">
        <f t="shared" si="100"/>
        <v>27387.200000000001</v>
      </c>
      <c r="F26" s="413">
        <f t="shared" ref="F26" si="101">SUM(F27:F28)</f>
        <v>27209.3</v>
      </c>
      <c r="G26" s="413">
        <f t="shared" si="100"/>
        <v>27031.5</v>
      </c>
      <c r="H26" s="413">
        <f t="shared" si="100"/>
        <v>26853.7</v>
      </c>
      <c r="I26" s="413">
        <f t="shared" si="100"/>
        <v>26675.8</v>
      </c>
      <c r="J26" s="413">
        <f t="shared" si="100"/>
        <v>26498</v>
      </c>
      <c r="K26" s="413">
        <f t="shared" si="100"/>
        <v>26320.2</v>
      </c>
      <c r="L26" s="413">
        <f t="shared" si="100"/>
        <v>26142.3</v>
      </c>
      <c r="M26" s="413">
        <f t="shared" si="100"/>
        <v>25964.5</v>
      </c>
      <c r="N26" s="413">
        <f t="shared" si="100"/>
        <v>25786.6</v>
      </c>
      <c r="O26" s="413">
        <f t="shared" si="100"/>
        <v>25608.799999999999</v>
      </c>
      <c r="P26" s="413">
        <f t="shared" si="100"/>
        <v>25431</v>
      </c>
      <c r="Q26" s="413">
        <f t="shared" si="100"/>
        <v>25253.1</v>
      </c>
      <c r="R26" s="413">
        <f t="shared" si="100"/>
        <v>25075.3</v>
      </c>
      <c r="S26" s="413">
        <f t="shared" si="100"/>
        <v>24897.4</v>
      </c>
      <c r="T26" s="413">
        <f t="shared" si="100"/>
        <v>24719.599999999999</v>
      </c>
      <c r="U26" s="413">
        <f t="shared" si="100"/>
        <v>24541.8</v>
      </c>
      <c r="V26" s="413">
        <f t="shared" si="100"/>
        <v>24363.9</v>
      </c>
      <c r="W26" s="413">
        <f t="shared" si="100"/>
        <v>24186.1</v>
      </c>
      <c r="X26" s="413">
        <f t="shared" si="100"/>
        <v>24008.3</v>
      </c>
      <c r="Y26" s="413">
        <f t="shared" si="100"/>
        <v>23830.400000000001</v>
      </c>
      <c r="Z26" s="413">
        <f t="shared" si="100"/>
        <v>23652.6</v>
      </c>
      <c r="AA26" s="413">
        <f t="shared" si="100"/>
        <v>23474.7</v>
      </c>
      <c r="AB26" s="413">
        <f t="shared" si="100"/>
        <v>23296.9</v>
      </c>
      <c r="AC26" s="413">
        <f t="shared" si="100"/>
        <v>23119.1</v>
      </c>
      <c r="AD26" s="413">
        <f t="shared" si="100"/>
        <v>22941.200000000001</v>
      </c>
      <c r="AE26" s="413">
        <f t="shared" si="100"/>
        <v>22763.4</v>
      </c>
      <c r="AF26" s="413">
        <f t="shared" si="100"/>
        <v>22585.5</v>
      </c>
      <c r="AG26" s="413">
        <f t="shared" si="100"/>
        <v>22407.7</v>
      </c>
      <c r="AH26" s="413">
        <f t="shared" si="100"/>
        <v>22229.9</v>
      </c>
      <c r="AI26" s="413">
        <f t="shared" si="100"/>
        <v>22052</v>
      </c>
      <c r="AJ26" s="413">
        <f t="shared" si="100"/>
        <v>21874.2</v>
      </c>
      <c r="AK26" s="413">
        <f t="shared" si="100"/>
        <v>21696.400000000001</v>
      </c>
      <c r="AL26" s="413">
        <f t="shared" si="100"/>
        <v>21518.5</v>
      </c>
      <c r="AM26" s="413">
        <f t="shared" ref="AM26:BJ26" si="102">SUM(AM27:AM28)</f>
        <v>21340.7</v>
      </c>
      <c r="AN26" s="413">
        <f t="shared" si="102"/>
        <v>21162.799999999999</v>
      </c>
      <c r="AO26" s="413">
        <f t="shared" si="102"/>
        <v>20985</v>
      </c>
      <c r="AP26" s="413">
        <f t="shared" si="102"/>
        <v>20807.2</v>
      </c>
      <c r="AQ26" s="413">
        <f t="shared" si="102"/>
        <v>20629.3</v>
      </c>
      <c r="AR26" s="413">
        <f t="shared" si="102"/>
        <v>20451.5</v>
      </c>
      <c r="AS26" s="413">
        <f t="shared" si="102"/>
        <v>20273.599999999999</v>
      </c>
      <c r="AT26" s="413">
        <f t="shared" si="102"/>
        <v>20095.8</v>
      </c>
      <c r="AU26" s="413">
        <f t="shared" si="102"/>
        <v>19918</v>
      </c>
      <c r="AV26" s="413">
        <f t="shared" si="102"/>
        <v>19740.099999999999</v>
      </c>
      <c r="AW26" s="413">
        <f t="shared" si="102"/>
        <v>19562.3</v>
      </c>
      <c r="AX26" s="413">
        <f t="shared" si="102"/>
        <v>19384.5</v>
      </c>
      <c r="AY26" s="413">
        <f t="shared" si="102"/>
        <v>19206.599999999999</v>
      </c>
      <c r="AZ26" s="413">
        <f t="shared" si="102"/>
        <v>19028.8</v>
      </c>
      <c r="BA26" s="413">
        <f t="shared" si="102"/>
        <v>18850.900000000001</v>
      </c>
      <c r="BB26" s="413">
        <f t="shared" si="102"/>
        <v>18673.099999999999</v>
      </c>
      <c r="BC26" s="413">
        <f t="shared" si="102"/>
        <v>18495.3</v>
      </c>
      <c r="BD26" s="413">
        <f t="shared" si="102"/>
        <v>18317.400000000001</v>
      </c>
      <c r="BE26" s="413">
        <f t="shared" si="102"/>
        <v>18139.599999999999</v>
      </c>
      <c r="BF26" s="413">
        <f t="shared" si="102"/>
        <v>17961.7</v>
      </c>
      <c r="BG26" s="413">
        <f t="shared" si="102"/>
        <v>17783.900000000001</v>
      </c>
      <c r="BH26" s="413">
        <f t="shared" si="102"/>
        <v>17606.099999999999</v>
      </c>
      <c r="BI26" s="413">
        <f t="shared" si="102"/>
        <v>17428.2</v>
      </c>
      <c r="BJ26" s="413">
        <f t="shared" si="102"/>
        <v>17250.400000000001</v>
      </c>
    </row>
    <row r="27" spans="1:63" s="6" customFormat="1">
      <c r="A27" s="19" t="s">
        <v>270</v>
      </c>
      <c r="B27" s="412">
        <f t="shared" si="63"/>
        <v>1024350</v>
      </c>
      <c r="C27" s="415">
        <v>17072.5</v>
      </c>
      <c r="D27" s="416">
        <v>17072.5</v>
      </c>
      <c r="E27" s="415">
        <v>17072.5</v>
      </c>
      <c r="F27" s="416">
        <v>17072.5</v>
      </c>
      <c r="G27" s="415">
        <v>17072.5</v>
      </c>
      <c r="H27" s="416">
        <v>17072.5</v>
      </c>
      <c r="I27" s="415">
        <v>17072.5</v>
      </c>
      <c r="J27" s="416">
        <v>17072.5</v>
      </c>
      <c r="K27" s="415">
        <v>17072.5</v>
      </c>
      <c r="L27" s="416">
        <v>17072.5</v>
      </c>
      <c r="M27" s="415">
        <v>17072.5</v>
      </c>
      <c r="N27" s="416">
        <v>17072.5</v>
      </c>
      <c r="O27" s="415">
        <v>17072.5</v>
      </c>
      <c r="P27" s="416">
        <v>17072.5</v>
      </c>
      <c r="Q27" s="415">
        <v>17072.5</v>
      </c>
      <c r="R27" s="416">
        <v>17072.5</v>
      </c>
      <c r="S27" s="415">
        <v>17072.5</v>
      </c>
      <c r="T27" s="416">
        <v>17072.5</v>
      </c>
      <c r="U27" s="415">
        <v>17072.5</v>
      </c>
      <c r="V27" s="416">
        <v>17072.5</v>
      </c>
      <c r="W27" s="415">
        <v>17072.5</v>
      </c>
      <c r="X27" s="416">
        <v>17072.5</v>
      </c>
      <c r="Y27" s="415">
        <v>17072.5</v>
      </c>
      <c r="Z27" s="416">
        <v>17072.5</v>
      </c>
      <c r="AA27" s="415">
        <v>17072.5</v>
      </c>
      <c r="AB27" s="416">
        <v>17072.5</v>
      </c>
      <c r="AC27" s="415">
        <v>17072.5</v>
      </c>
      <c r="AD27" s="416">
        <v>17072.5</v>
      </c>
      <c r="AE27" s="415">
        <v>17072.5</v>
      </c>
      <c r="AF27" s="416">
        <v>17072.5</v>
      </c>
      <c r="AG27" s="415">
        <v>17072.5</v>
      </c>
      <c r="AH27" s="416">
        <v>17072.5</v>
      </c>
      <c r="AI27" s="415">
        <v>17072.5</v>
      </c>
      <c r="AJ27" s="416">
        <v>17072.5</v>
      </c>
      <c r="AK27" s="415">
        <v>17072.5</v>
      </c>
      <c r="AL27" s="416">
        <v>17072.5</v>
      </c>
      <c r="AM27" s="415">
        <v>17072.5</v>
      </c>
      <c r="AN27" s="416">
        <v>17072.5</v>
      </c>
      <c r="AO27" s="415">
        <v>17072.5</v>
      </c>
      <c r="AP27" s="416">
        <v>17072.5</v>
      </c>
      <c r="AQ27" s="415">
        <v>17072.5</v>
      </c>
      <c r="AR27" s="416">
        <v>17072.5</v>
      </c>
      <c r="AS27" s="415">
        <v>17072.5</v>
      </c>
      <c r="AT27" s="416">
        <v>17072.5</v>
      </c>
      <c r="AU27" s="415">
        <v>17072.5</v>
      </c>
      <c r="AV27" s="416">
        <v>17072.5</v>
      </c>
      <c r="AW27" s="415">
        <v>17072.5</v>
      </c>
      <c r="AX27" s="416">
        <v>17072.5</v>
      </c>
      <c r="AY27" s="415">
        <v>17072.5</v>
      </c>
      <c r="AZ27" s="416">
        <v>17072.5</v>
      </c>
      <c r="BA27" s="415">
        <v>17072.5</v>
      </c>
      <c r="BB27" s="416">
        <v>17072.5</v>
      </c>
      <c r="BC27" s="415">
        <v>17072.5</v>
      </c>
      <c r="BD27" s="416">
        <v>17072.5</v>
      </c>
      <c r="BE27" s="415">
        <v>17072.5</v>
      </c>
      <c r="BF27" s="416">
        <v>17072.5</v>
      </c>
      <c r="BG27" s="415">
        <v>17072.5</v>
      </c>
      <c r="BH27" s="416">
        <v>17072.5</v>
      </c>
      <c r="BI27" s="415">
        <v>17072.5</v>
      </c>
      <c r="BJ27" s="416">
        <v>17072.5</v>
      </c>
      <c r="BK27" s="411"/>
    </row>
    <row r="28" spans="1:63" s="6" customFormat="1">
      <c r="A28" s="19" t="s">
        <v>63</v>
      </c>
      <c r="B28" s="412">
        <f t="shared" si="63"/>
        <v>325447.59999999998</v>
      </c>
      <c r="C28" s="415">
        <v>10670.4</v>
      </c>
      <c r="D28" s="416">
        <v>10492.5</v>
      </c>
      <c r="E28" s="415">
        <v>10314.700000000001</v>
      </c>
      <c r="F28" s="416">
        <v>10136.799999999999</v>
      </c>
      <c r="G28" s="415">
        <v>9959</v>
      </c>
      <c r="H28" s="416">
        <v>9781.2000000000007</v>
      </c>
      <c r="I28" s="415">
        <v>9603.2999999999993</v>
      </c>
      <c r="J28" s="416">
        <v>9425.5</v>
      </c>
      <c r="K28" s="415">
        <v>9247.7000000000007</v>
      </c>
      <c r="L28" s="416">
        <v>9069.7999999999993</v>
      </c>
      <c r="M28" s="415">
        <v>8892</v>
      </c>
      <c r="N28" s="416">
        <v>8714.1</v>
      </c>
      <c r="O28" s="415">
        <v>8536.2999999999993</v>
      </c>
      <c r="P28" s="416">
        <v>8358.5</v>
      </c>
      <c r="Q28" s="415">
        <v>8180.6</v>
      </c>
      <c r="R28" s="416">
        <v>8002.8</v>
      </c>
      <c r="S28" s="415">
        <v>7824.9</v>
      </c>
      <c r="T28" s="416">
        <v>7647.1</v>
      </c>
      <c r="U28" s="415">
        <v>7469.3</v>
      </c>
      <c r="V28" s="416">
        <v>7291.4</v>
      </c>
      <c r="W28" s="415">
        <v>7113.6</v>
      </c>
      <c r="X28" s="416">
        <v>6935.8</v>
      </c>
      <c r="Y28" s="415">
        <v>6757.9</v>
      </c>
      <c r="Z28" s="416">
        <v>6580.1</v>
      </c>
      <c r="AA28" s="415">
        <v>6402.2</v>
      </c>
      <c r="AB28" s="416">
        <v>6224.4</v>
      </c>
      <c r="AC28" s="415">
        <v>6046.6</v>
      </c>
      <c r="AD28" s="416">
        <v>5868.7</v>
      </c>
      <c r="AE28" s="415">
        <v>5690.9</v>
      </c>
      <c r="AF28" s="416">
        <v>5513</v>
      </c>
      <c r="AG28" s="415">
        <v>5335.2</v>
      </c>
      <c r="AH28" s="416">
        <v>5157.3999999999996</v>
      </c>
      <c r="AI28" s="415">
        <v>4979.5</v>
      </c>
      <c r="AJ28" s="416">
        <v>4801.7</v>
      </c>
      <c r="AK28" s="415">
        <v>4623.8999999999996</v>
      </c>
      <c r="AL28" s="416">
        <v>4446</v>
      </c>
      <c r="AM28" s="415">
        <v>4268.2</v>
      </c>
      <c r="AN28" s="416">
        <v>4090.3</v>
      </c>
      <c r="AO28" s="415">
        <v>3912.5</v>
      </c>
      <c r="AP28" s="416">
        <v>3734.7</v>
      </c>
      <c r="AQ28" s="415">
        <v>3556.8</v>
      </c>
      <c r="AR28" s="416">
        <v>3379</v>
      </c>
      <c r="AS28" s="415">
        <v>3201.1</v>
      </c>
      <c r="AT28" s="416">
        <v>3023.3</v>
      </c>
      <c r="AU28" s="415">
        <v>2845.5</v>
      </c>
      <c r="AV28" s="416">
        <v>2667.6</v>
      </c>
      <c r="AW28" s="415">
        <v>2489.8000000000002</v>
      </c>
      <c r="AX28" s="416">
        <v>2312</v>
      </c>
      <c r="AY28" s="415">
        <v>2134.1</v>
      </c>
      <c r="AZ28" s="416">
        <v>1956.3</v>
      </c>
      <c r="BA28" s="415">
        <v>1778.4</v>
      </c>
      <c r="BB28" s="416">
        <v>1600.6</v>
      </c>
      <c r="BC28" s="415">
        <v>1422.8</v>
      </c>
      <c r="BD28" s="416">
        <v>1244.9000000000001</v>
      </c>
      <c r="BE28" s="415">
        <v>1067.0999999999999</v>
      </c>
      <c r="BF28" s="416">
        <v>889.2</v>
      </c>
      <c r="BG28" s="415">
        <v>711.4</v>
      </c>
      <c r="BH28" s="416">
        <v>533.6</v>
      </c>
      <c r="BI28" s="415">
        <v>355.7</v>
      </c>
      <c r="BJ28" s="416">
        <v>177.9</v>
      </c>
      <c r="BK28" s="411"/>
    </row>
    <row r="29" spans="1:63" s="10" customFormat="1">
      <c r="A29" s="71" t="s">
        <v>271</v>
      </c>
      <c r="B29" s="111">
        <f t="shared" si="63"/>
        <v>-910790.61990000005</v>
      </c>
      <c r="C29" s="414">
        <f>C20-C26</f>
        <v>411264.08010000014</v>
      </c>
      <c r="D29" s="414">
        <f t="shared" ref="D29:AL29" si="103">D20-D26</f>
        <v>-27565</v>
      </c>
      <c r="E29" s="414">
        <f t="shared" si="103"/>
        <v>-27387.200000000001</v>
      </c>
      <c r="F29" s="414">
        <f t="shared" ref="F29" si="104">F20-F26</f>
        <v>-27209.3</v>
      </c>
      <c r="G29" s="414">
        <f t="shared" si="103"/>
        <v>-27031.5</v>
      </c>
      <c r="H29" s="414">
        <f t="shared" si="103"/>
        <v>-26853.7</v>
      </c>
      <c r="I29" s="414">
        <f t="shared" si="103"/>
        <v>-26675.8</v>
      </c>
      <c r="J29" s="414">
        <f>J20-J26</f>
        <v>-26498</v>
      </c>
      <c r="K29" s="414">
        <f t="shared" si="103"/>
        <v>-26320.2</v>
      </c>
      <c r="L29" s="414">
        <f t="shared" si="103"/>
        <v>-26142.3</v>
      </c>
      <c r="M29" s="414">
        <f t="shared" si="103"/>
        <v>-25964.5</v>
      </c>
      <c r="N29" s="414">
        <f t="shared" si="103"/>
        <v>-25786.6</v>
      </c>
      <c r="O29" s="414">
        <f t="shared" si="103"/>
        <v>-25608.799999999999</v>
      </c>
      <c r="P29" s="414">
        <f t="shared" si="103"/>
        <v>-25431</v>
      </c>
      <c r="Q29" s="414">
        <f t="shared" si="103"/>
        <v>-25253.1</v>
      </c>
      <c r="R29" s="414">
        <f t="shared" si="103"/>
        <v>-25075.3</v>
      </c>
      <c r="S29" s="414">
        <f t="shared" si="103"/>
        <v>-24897.4</v>
      </c>
      <c r="T29" s="414">
        <f t="shared" si="103"/>
        <v>-24719.599999999999</v>
      </c>
      <c r="U29" s="414">
        <f t="shared" si="103"/>
        <v>-24541.8</v>
      </c>
      <c r="V29" s="414">
        <f t="shared" si="103"/>
        <v>-24363.9</v>
      </c>
      <c r="W29" s="414">
        <f t="shared" si="103"/>
        <v>-24186.1</v>
      </c>
      <c r="X29" s="414">
        <f t="shared" si="103"/>
        <v>-24008.3</v>
      </c>
      <c r="Y29" s="414">
        <f t="shared" si="103"/>
        <v>-23830.400000000001</v>
      </c>
      <c r="Z29" s="414">
        <f t="shared" si="103"/>
        <v>-23652.6</v>
      </c>
      <c r="AA29" s="414">
        <f t="shared" si="103"/>
        <v>-23474.7</v>
      </c>
      <c r="AB29" s="414">
        <f t="shared" si="103"/>
        <v>-23296.9</v>
      </c>
      <c r="AC29" s="414">
        <f t="shared" si="103"/>
        <v>-23119.1</v>
      </c>
      <c r="AD29" s="414">
        <f t="shared" si="103"/>
        <v>-22941.200000000001</v>
      </c>
      <c r="AE29" s="414">
        <f t="shared" si="103"/>
        <v>-22763.4</v>
      </c>
      <c r="AF29" s="414">
        <f t="shared" si="103"/>
        <v>-22585.5</v>
      </c>
      <c r="AG29" s="414">
        <f t="shared" si="103"/>
        <v>-22407.7</v>
      </c>
      <c r="AH29" s="414">
        <f t="shared" si="103"/>
        <v>-22229.9</v>
      </c>
      <c r="AI29" s="414">
        <f t="shared" si="103"/>
        <v>-22052</v>
      </c>
      <c r="AJ29" s="414">
        <f t="shared" si="103"/>
        <v>-21874.2</v>
      </c>
      <c r="AK29" s="414">
        <f t="shared" si="103"/>
        <v>-21696.400000000001</v>
      </c>
      <c r="AL29" s="414">
        <f t="shared" si="103"/>
        <v>-21518.5</v>
      </c>
      <c r="AM29" s="414">
        <f t="shared" ref="AM29:BJ29" si="105">AM20-AM26</f>
        <v>-21340.7</v>
      </c>
      <c r="AN29" s="414">
        <f t="shared" si="105"/>
        <v>-21162.799999999999</v>
      </c>
      <c r="AO29" s="414">
        <f t="shared" si="105"/>
        <v>-20985</v>
      </c>
      <c r="AP29" s="414">
        <f t="shared" si="105"/>
        <v>-20807.2</v>
      </c>
      <c r="AQ29" s="414">
        <f t="shared" si="105"/>
        <v>-20629.3</v>
      </c>
      <c r="AR29" s="414">
        <f t="shared" si="105"/>
        <v>-20451.5</v>
      </c>
      <c r="AS29" s="414">
        <f t="shared" si="105"/>
        <v>-20273.599999999999</v>
      </c>
      <c r="AT29" s="414">
        <f t="shared" si="105"/>
        <v>-20095.8</v>
      </c>
      <c r="AU29" s="414">
        <f t="shared" si="105"/>
        <v>-19918</v>
      </c>
      <c r="AV29" s="414">
        <f t="shared" si="105"/>
        <v>-19740.099999999999</v>
      </c>
      <c r="AW29" s="414">
        <f t="shared" si="105"/>
        <v>-19562.3</v>
      </c>
      <c r="AX29" s="414">
        <f t="shared" si="105"/>
        <v>-19384.5</v>
      </c>
      <c r="AY29" s="414">
        <f t="shared" si="105"/>
        <v>-19206.599999999999</v>
      </c>
      <c r="AZ29" s="414">
        <f>AZ20-AZ26</f>
        <v>-19028.8</v>
      </c>
      <c r="BA29" s="414">
        <f t="shared" si="105"/>
        <v>-18850.900000000001</v>
      </c>
      <c r="BB29" s="414">
        <f t="shared" si="105"/>
        <v>-18673.099999999999</v>
      </c>
      <c r="BC29" s="414">
        <f t="shared" si="105"/>
        <v>-18495.3</v>
      </c>
      <c r="BD29" s="414">
        <f t="shared" si="105"/>
        <v>-18317.400000000001</v>
      </c>
      <c r="BE29" s="414">
        <f t="shared" si="105"/>
        <v>-18139.599999999999</v>
      </c>
      <c r="BF29" s="414">
        <f t="shared" si="105"/>
        <v>-17961.7</v>
      </c>
      <c r="BG29" s="414">
        <f t="shared" si="105"/>
        <v>-17783.900000000001</v>
      </c>
      <c r="BH29" s="414">
        <f t="shared" si="105"/>
        <v>-17606.099999999999</v>
      </c>
      <c r="BI29" s="414">
        <f t="shared" si="105"/>
        <v>-17428.2</v>
      </c>
      <c r="BJ29" s="414">
        <f t="shared" si="105"/>
        <v>-17250.400000000001</v>
      </c>
    </row>
    <row r="30" spans="1:63" s="10" customFormat="1">
      <c r="A30" s="71" t="s">
        <v>255</v>
      </c>
      <c r="B30" s="111">
        <f>BJ30</f>
        <v>-910790.61990000005</v>
      </c>
      <c r="C30" s="111">
        <f>C29</f>
        <v>411264.08010000014</v>
      </c>
      <c r="D30" s="111">
        <f>D29+C30</f>
        <v>383699.08010000014</v>
      </c>
      <c r="E30" s="111">
        <f t="shared" ref="E30:AL30" si="106">E29+D30</f>
        <v>356311.88010000013</v>
      </c>
      <c r="F30" s="111">
        <f t="shared" si="106"/>
        <v>329102.58010000014</v>
      </c>
      <c r="G30" s="111">
        <f t="shared" si="106"/>
        <v>302071.08010000014</v>
      </c>
      <c r="H30" s="111">
        <f t="shared" si="106"/>
        <v>275217.38010000013</v>
      </c>
      <c r="I30" s="111">
        <f t="shared" si="106"/>
        <v>248541.58010000014</v>
      </c>
      <c r="J30" s="111">
        <f t="shared" si="106"/>
        <v>222043.58010000014</v>
      </c>
      <c r="K30" s="111">
        <f t="shared" si="106"/>
        <v>195723.38010000013</v>
      </c>
      <c r="L30" s="111">
        <f t="shared" si="106"/>
        <v>169581.08010000014</v>
      </c>
      <c r="M30" s="111">
        <f t="shared" si="106"/>
        <v>143616.58010000014</v>
      </c>
      <c r="N30" s="111">
        <f t="shared" si="106"/>
        <v>117829.98010000013</v>
      </c>
      <c r="O30" s="111">
        <f t="shared" si="106"/>
        <v>92221.180100000129</v>
      </c>
      <c r="P30" s="111">
        <f t="shared" si="106"/>
        <v>66790.180100000129</v>
      </c>
      <c r="Q30" s="111">
        <f t="shared" si="106"/>
        <v>41537.08010000013</v>
      </c>
      <c r="R30" s="111">
        <f t="shared" si="106"/>
        <v>16461.780100000131</v>
      </c>
      <c r="S30" s="111">
        <f t="shared" si="106"/>
        <v>-8435.6198999998705</v>
      </c>
      <c r="T30" s="111">
        <f t="shared" si="106"/>
        <v>-33155.219899999865</v>
      </c>
      <c r="U30" s="111">
        <f t="shared" si="106"/>
        <v>-57697.019899999868</v>
      </c>
      <c r="V30" s="111">
        <f t="shared" si="106"/>
        <v>-82060.919899999863</v>
      </c>
      <c r="W30" s="111">
        <f t="shared" si="106"/>
        <v>-106247.01989999987</v>
      </c>
      <c r="X30" s="111">
        <f t="shared" si="106"/>
        <v>-130255.31989999987</v>
      </c>
      <c r="Y30" s="111">
        <f t="shared" si="106"/>
        <v>-154085.71989999988</v>
      </c>
      <c r="Z30" s="111">
        <f t="shared" si="106"/>
        <v>-177738.31989999989</v>
      </c>
      <c r="AA30" s="111">
        <f t="shared" si="106"/>
        <v>-201213.0198999999</v>
      </c>
      <c r="AB30" s="111">
        <f t="shared" si="106"/>
        <v>-224509.91989999989</v>
      </c>
      <c r="AC30" s="111">
        <f t="shared" si="106"/>
        <v>-247629.0198999999</v>
      </c>
      <c r="AD30" s="111">
        <f t="shared" si="106"/>
        <v>-270570.21989999991</v>
      </c>
      <c r="AE30" s="111">
        <f t="shared" si="106"/>
        <v>-293333.61989999993</v>
      </c>
      <c r="AF30" s="111">
        <f t="shared" si="106"/>
        <v>-315919.11989999993</v>
      </c>
      <c r="AG30" s="111">
        <f t="shared" si="106"/>
        <v>-338326.81989999994</v>
      </c>
      <c r="AH30" s="111">
        <f t="shared" si="106"/>
        <v>-360556.71989999997</v>
      </c>
      <c r="AI30" s="111">
        <f t="shared" si="106"/>
        <v>-382608.71989999997</v>
      </c>
      <c r="AJ30" s="111">
        <f t="shared" si="106"/>
        <v>-404482.91989999998</v>
      </c>
      <c r="AK30" s="111">
        <f t="shared" si="106"/>
        <v>-426179.3199</v>
      </c>
      <c r="AL30" s="111">
        <f t="shared" si="106"/>
        <v>-447697.8199</v>
      </c>
      <c r="AM30" s="111">
        <f t="shared" ref="AM30" si="107">AM29+AL30</f>
        <v>-469038.51990000001</v>
      </c>
      <c r="AN30" s="111">
        <f t="shared" ref="AN30" si="108">AN29+AM30</f>
        <v>-490201.3199</v>
      </c>
      <c r="AO30" s="111">
        <f t="shared" ref="AO30" si="109">AO29+AN30</f>
        <v>-511186.3199</v>
      </c>
      <c r="AP30" s="111">
        <f t="shared" ref="AP30" si="110">AP29+AO30</f>
        <v>-531993.51989999996</v>
      </c>
      <c r="AQ30" s="111">
        <f t="shared" ref="AQ30" si="111">AQ29+AP30</f>
        <v>-552622.8199</v>
      </c>
      <c r="AR30" s="111">
        <f t="shared" ref="AR30" si="112">AR29+AQ30</f>
        <v>-573074.3199</v>
      </c>
      <c r="AS30" s="111">
        <f t="shared" ref="AS30" si="113">AS29+AR30</f>
        <v>-593347.91989999998</v>
      </c>
      <c r="AT30" s="111">
        <f t="shared" ref="AT30" si="114">AT29+AS30</f>
        <v>-613443.71990000003</v>
      </c>
      <c r="AU30" s="111">
        <f t="shared" ref="AU30" si="115">AU29+AT30</f>
        <v>-633361.71990000003</v>
      </c>
      <c r="AV30" s="111">
        <f t="shared" ref="AV30" si="116">AV29+AU30</f>
        <v>-653101.8199</v>
      </c>
      <c r="AW30" s="111">
        <f t="shared" ref="AW30" si="117">AW29+AV30</f>
        <v>-672664.11990000005</v>
      </c>
      <c r="AX30" s="111">
        <f t="shared" ref="AX30" si="118">AX29+AW30</f>
        <v>-692048.61990000005</v>
      </c>
      <c r="AY30" s="111">
        <f t="shared" ref="AY30" si="119">AY29+AX30</f>
        <v>-711255.21990000003</v>
      </c>
      <c r="AZ30" s="111">
        <f t="shared" ref="AZ30" si="120">AZ29+AY30</f>
        <v>-730284.01990000007</v>
      </c>
      <c r="BA30" s="111">
        <f t="shared" ref="BA30" si="121">BA29+AZ30</f>
        <v>-749134.9199000001</v>
      </c>
      <c r="BB30" s="111">
        <f t="shared" ref="BB30" si="122">BB29+BA30</f>
        <v>-767808.01990000007</v>
      </c>
      <c r="BC30" s="111">
        <f t="shared" ref="BC30" si="123">BC29+BB30</f>
        <v>-786303.31990000012</v>
      </c>
      <c r="BD30" s="111">
        <f t="shared" ref="BD30" si="124">BD29+BC30</f>
        <v>-804620.71990000014</v>
      </c>
      <c r="BE30" s="111">
        <f t="shared" ref="BE30" si="125">BE29+BD30</f>
        <v>-822760.31990000012</v>
      </c>
      <c r="BF30" s="111">
        <f t="shared" ref="BF30" si="126">BF29+BE30</f>
        <v>-840722.01990000007</v>
      </c>
      <c r="BG30" s="111">
        <f t="shared" ref="BG30" si="127">BG29+BF30</f>
        <v>-858505.9199000001</v>
      </c>
      <c r="BH30" s="111">
        <f t="shared" ref="BH30" si="128">BH29+BG30</f>
        <v>-876112.01990000007</v>
      </c>
      <c r="BI30" s="111">
        <f t="shared" ref="BI30" si="129">BI29+BH30</f>
        <v>-893540.21990000003</v>
      </c>
      <c r="BJ30" s="111">
        <f t="shared" ref="BJ30" si="130">BJ29+BI30</f>
        <v>-910790.61990000005</v>
      </c>
    </row>
    <row r="31" spans="1:63">
      <c r="A31" s="15"/>
      <c r="B31" s="27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</row>
    <row r="32" spans="1:63" s="17" customFormat="1">
      <c r="A32" s="74" t="s">
        <v>272</v>
      </c>
      <c r="B32" s="111">
        <f>C32</f>
        <v>0</v>
      </c>
      <c r="C32" s="111">
        <v>0</v>
      </c>
      <c r="D32" s="111">
        <f t="shared" ref="D32:AI32" si="131">C35</f>
        <v>645402.13469999982</v>
      </c>
      <c r="E32" s="111">
        <f t="shared" si="131"/>
        <v>748454.22873133305</v>
      </c>
      <c r="F32" s="111">
        <f t="shared" si="131"/>
        <v>733208.64304616663</v>
      </c>
      <c r="G32" s="111">
        <f t="shared" si="131"/>
        <v>661920.95002666279</v>
      </c>
      <c r="H32" s="111">
        <f t="shared" si="131"/>
        <v>648452.53611784719</v>
      </c>
      <c r="I32" s="111">
        <f t="shared" si="131"/>
        <v>635875.32446592615</v>
      </c>
      <c r="J32" s="111">
        <f t="shared" si="131"/>
        <v>615630.86524320848</v>
      </c>
      <c r="K32" s="111">
        <f t="shared" si="131"/>
        <v>596281.1797474341</v>
      </c>
      <c r="L32" s="111">
        <f t="shared" si="131"/>
        <v>520183.01427982328</v>
      </c>
      <c r="M32" s="111">
        <f t="shared" si="131"/>
        <v>502628.3580219734</v>
      </c>
      <c r="N32" s="111">
        <f t="shared" si="131"/>
        <v>485973.86624847888</v>
      </c>
      <c r="O32" s="111">
        <f t="shared" si="131"/>
        <v>470221.44487055053</v>
      </c>
      <c r="P32" s="111">
        <f t="shared" si="131"/>
        <v>694028.42735809856</v>
      </c>
      <c r="Q32" s="111">
        <f t="shared" si="131"/>
        <v>799517.88777529867</v>
      </c>
      <c r="R32" s="111">
        <f t="shared" si="131"/>
        <v>784838.05825557746</v>
      </c>
      <c r="S32" s="111">
        <f t="shared" si="131"/>
        <v>712406.03608076111</v>
      </c>
      <c r="T32" s="111">
        <f t="shared" si="131"/>
        <v>699546.61376169452</v>
      </c>
      <c r="U32" s="111">
        <f t="shared" si="131"/>
        <v>687600.09251183004</v>
      </c>
      <c r="V32" s="111">
        <f t="shared" si="131"/>
        <v>676568.31008384086</v>
      </c>
      <c r="W32" s="111">
        <f t="shared" si="131"/>
        <v>666453.2088247817</v>
      </c>
      <c r="X32" s="111">
        <f t="shared" si="131"/>
        <v>597858.1603150164</v>
      </c>
      <c r="Y32" s="111">
        <f t="shared" si="131"/>
        <v>589581.76686996641</v>
      </c>
      <c r="Z32" s="111">
        <f t="shared" si="131"/>
        <v>582165.53767596325</v>
      </c>
      <c r="AA32" s="111">
        <f t="shared" si="131"/>
        <v>575506.98580147501</v>
      </c>
      <c r="AB32" s="111">
        <f t="shared" si="131"/>
        <v>808416.58157812618</v>
      </c>
      <c r="AC32" s="111">
        <f t="shared" si="131"/>
        <v>919405.48010617099</v>
      </c>
      <c r="AD32" s="111">
        <f t="shared" si="131"/>
        <v>907015.98509451596</v>
      </c>
      <c r="AE32" s="111">
        <f t="shared" si="131"/>
        <v>835112.40126716869</v>
      </c>
      <c r="AF32" s="111">
        <f t="shared" si="131"/>
        <v>824587.86392727389</v>
      </c>
      <c r="AG32" s="111">
        <f t="shared" si="131"/>
        <v>814998.68645902991</v>
      </c>
      <c r="AH32" s="111">
        <f t="shared" si="131"/>
        <v>806346.66251211532</v>
      </c>
      <c r="AI32" s="111">
        <f t="shared" si="131"/>
        <v>798633.69047033309</v>
      </c>
      <c r="AJ32" s="111">
        <f t="shared" ref="AJ32:AL32" si="132">AI35</f>
        <v>730656.73966482398</v>
      </c>
      <c r="AK32" s="111">
        <f t="shared" si="132"/>
        <v>724491.09531561274</v>
      </c>
      <c r="AL32" s="111">
        <f t="shared" si="132"/>
        <v>719100.16694182868</v>
      </c>
      <c r="AM32" s="111">
        <f t="shared" ref="AM32" si="133">AL35</f>
        <v>714485.60884340992</v>
      </c>
      <c r="AN32" s="111">
        <f t="shared" ref="AN32" si="134">AM35</f>
        <v>957066.62569908076</v>
      </c>
      <c r="AO32" s="111">
        <f t="shared" ref="AO32" si="135">AN35</f>
        <v>1074014.2581069127</v>
      </c>
      <c r="AP32" s="111">
        <f t="shared" ref="AP32" si="136">AO35</f>
        <v>1064340.9915268719</v>
      </c>
      <c r="AQ32" s="111">
        <f t="shared" ref="AQ32" si="137">AP35</f>
        <v>993337.94717123965</v>
      </c>
      <c r="AR32" s="111">
        <f t="shared" ref="AR32" si="138">AQ35</f>
        <v>985575.54377927503</v>
      </c>
      <c r="AS32" s="111">
        <f t="shared" ref="AS32" si="139">AR35</f>
        <v>978610.35796340951</v>
      </c>
      <c r="AT32" s="111">
        <f t="shared" ref="AT32" si="140">AS35</f>
        <v>972432.65913550335</v>
      </c>
      <c r="AU32" s="111">
        <f t="shared" ref="AU32" si="141">AT35</f>
        <v>967043.96931802621</v>
      </c>
      <c r="AV32" s="111">
        <f t="shared" ref="AV32" si="142">AU35</f>
        <v>900059.94441615138</v>
      </c>
      <c r="AW32" s="111">
        <f t="shared" ref="AW32" si="143">AV35</f>
        <v>896254.18273719237</v>
      </c>
      <c r="AX32" s="111">
        <f t="shared" ref="AX32" si="144">AW35</f>
        <v>893242.26623653492</v>
      </c>
      <c r="AY32" s="111">
        <f t="shared" ref="AY32" si="145">AX35</f>
        <v>891025.81503712491</v>
      </c>
      <c r="AZ32" s="111">
        <f t="shared" ref="AZ32" si="146">AY35</f>
        <v>1143425.8775772376</v>
      </c>
      <c r="BA32" s="111">
        <f t="shared" ref="BA32" si="147">AZ35</f>
        <v>1266366.7770422848</v>
      </c>
      <c r="BB32" s="111">
        <f t="shared" ref="BB32" si="148">BA35</f>
        <v>1259197.3060283512</v>
      </c>
      <c r="BC32" s="111">
        <f t="shared" ref="BC32" si="149">BB35</f>
        <v>1188943.4834734611</v>
      </c>
      <c r="BD32" s="111">
        <f t="shared" ref="BD32" si="150">BC35</f>
        <v>1183379.6257304978</v>
      </c>
      <c r="BE32" s="111">
        <f t="shared" ref="BE32" si="151">BD35</f>
        <v>1178621.1214382001</v>
      </c>
      <c r="BF32" s="111">
        <f t="shared" ref="BF32" si="152">BE35</f>
        <v>1174669.5372851952</v>
      </c>
      <c r="BG32" s="111">
        <f t="shared" ref="BG32" si="153">BF35</f>
        <v>1171526.6080818309</v>
      </c>
      <c r="BH32" s="111">
        <f t="shared" ref="BH32" si="154">BG35</f>
        <v>1105387.0014343509</v>
      </c>
      <c r="BI32" s="111">
        <f t="shared" ref="BI32" si="155">BH35</f>
        <v>1103866.1930997458</v>
      </c>
      <c r="BJ32" s="111">
        <f t="shared" ref="BJ32" si="156">BI35</f>
        <v>1103159.0229793275</v>
      </c>
    </row>
    <row r="33" spans="1:62" s="6" customFormat="1" ht="12">
      <c r="A33" s="19" t="s">
        <v>273</v>
      </c>
      <c r="B33" s="111">
        <f>SUM(C33:BJ33)</f>
        <v>55583447.282317601</v>
      </c>
      <c r="C33" s="100">
        <f>C20+C14+C6</f>
        <v>2800535.5334333335</v>
      </c>
      <c r="D33" s="100">
        <f t="shared" ref="D33:AL33" si="157">D20+D14+D6</f>
        <v>1166867.5449958332</v>
      </c>
      <c r="E33" s="100">
        <f t="shared" si="157"/>
        <v>782695.65312777099</v>
      </c>
      <c r="F33" s="100">
        <f t="shared" ref="F33" si="158">F20+F14+F6</f>
        <v>629416.85980847222</v>
      </c>
      <c r="G33" s="100">
        <f t="shared" si="157"/>
        <v>786571.16807249153</v>
      </c>
      <c r="H33" s="100">
        <f t="shared" si="157"/>
        <v>788516.19515933946</v>
      </c>
      <c r="I33" s="100">
        <f t="shared" si="157"/>
        <v>781905.75148057123</v>
      </c>
      <c r="J33" s="100">
        <f t="shared" si="157"/>
        <v>783860.51585927256</v>
      </c>
      <c r="K33" s="100">
        <f t="shared" si="157"/>
        <v>628656.13371913671</v>
      </c>
      <c r="L33" s="100">
        <f t="shared" si="157"/>
        <v>787784.71756679309</v>
      </c>
      <c r="M33" s="100">
        <f t="shared" si="157"/>
        <v>789754.17936070997</v>
      </c>
      <c r="N33" s="100">
        <f t="shared" si="157"/>
        <v>791728.56480911165</v>
      </c>
      <c r="O33" s="100">
        <f t="shared" si="157"/>
        <v>1587415.7724422689</v>
      </c>
      <c r="P33" s="100">
        <f t="shared" si="157"/>
        <v>1193538.2339050306</v>
      </c>
      <c r="Q33" s="100">
        <f t="shared" si="157"/>
        <v>797681.38632652874</v>
      </c>
      <c r="R33" s="100">
        <f t="shared" si="157"/>
        <v>639740.4718338761</v>
      </c>
      <c r="S33" s="100">
        <f t="shared" si="157"/>
        <v>801674.77876682591</v>
      </c>
      <c r="T33" s="100">
        <f t="shared" si="157"/>
        <v>803678.96571374277</v>
      </c>
      <c r="U33" s="100">
        <f t="shared" si="157"/>
        <v>805688.16312802711</v>
      </c>
      <c r="V33" s="100">
        <f t="shared" si="157"/>
        <v>807702.38353584707</v>
      </c>
      <c r="W33" s="100">
        <f t="shared" si="157"/>
        <v>647777.31159574946</v>
      </c>
      <c r="X33" s="100">
        <f t="shared" si="157"/>
        <v>811745.94359342335</v>
      </c>
      <c r="Y33" s="100">
        <f t="shared" si="157"/>
        <v>813775.30845240678</v>
      </c>
      <c r="Z33" s="100">
        <f t="shared" si="157"/>
        <v>815809.7467235378</v>
      </c>
      <c r="AA33" s="100">
        <f t="shared" si="157"/>
        <v>1635698.5421806935</v>
      </c>
      <c r="AB33" s="100">
        <f t="shared" si="157"/>
        <v>1229840.841402109</v>
      </c>
      <c r="AC33" s="100">
        <f t="shared" si="157"/>
        <v>821943.62900374248</v>
      </c>
      <c r="AD33" s="100">
        <f t="shared" si="157"/>
        <v>659198.79046100168</v>
      </c>
      <c r="AE33" s="100">
        <f t="shared" si="157"/>
        <v>826058.48429644248</v>
      </c>
      <c r="AF33" s="100">
        <f t="shared" si="157"/>
        <v>828123.63050718384</v>
      </c>
      <c r="AG33" s="100">
        <f t="shared" si="157"/>
        <v>830193.93958345184</v>
      </c>
      <c r="AH33" s="100">
        <f t="shared" si="157"/>
        <v>832269.42443241039</v>
      </c>
      <c r="AI33" s="100">
        <f t="shared" si="157"/>
        <v>667480.07839479309</v>
      </c>
      <c r="AJ33" s="100">
        <f t="shared" si="157"/>
        <v>836435.97323847504</v>
      </c>
      <c r="AK33" s="100">
        <f t="shared" si="157"/>
        <v>838527.06317157112</v>
      </c>
      <c r="AL33" s="100">
        <f t="shared" si="157"/>
        <v>840623.38082950003</v>
      </c>
      <c r="AM33" s="100">
        <f t="shared" ref="AM33:BJ33" si="159">AM20+AM14+AM6</f>
        <v>1685449.8785631475</v>
      </c>
      <c r="AN33" s="100">
        <f t="shared" si="159"/>
        <v>1267247.6274446663</v>
      </c>
      <c r="AO33" s="100">
        <f t="shared" si="159"/>
        <v>846943.83100885176</v>
      </c>
      <c r="AP33" s="100">
        <f t="shared" si="159"/>
        <v>679248.9524690992</v>
      </c>
      <c r="AQ33" s="100">
        <f t="shared" si="159"/>
        <v>851183.84356283979</v>
      </c>
      <c r="AR33" s="100">
        <f t="shared" si="159"/>
        <v>853311.80317174678</v>
      </c>
      <c r="AS33" s="100">
        <f t="shared" si="159"/>
        <v>855445.08267967624</v>
      </c>
      <c r="AT33" s="100">
        <f t="shared" si="159"/>
        <v>857583.6953863753</v>
      </c>
      <c r="AU33" s="100">
        <f t="shared" si="159"/>
        <v>687782.12369987287</v>
      </c>
      <c r="AV33" s="100">
        <f t="shared" si="159"/>
        <v>861876.97376140323</v>
      </c>
      <c r="AW33" s="100">
        <f t="shared" si="159"/>
        <v>864031.66619580658</v>
      </c>
      <c r="AX33" s="100">
        <f t="shared" si="159"/>
        <v>866191.74536129611</v>
      </c>
      <c r="AY33" s="100">
        <f t="shared" si="159"/>
        <v>1736714.4494493986</v>
      </c>
      <c r="AZ33" s="100">
        <f t="shared" si="159"/>
        <v>1305792.1766797663</v>
      </c>
      <c r="BA33" s="100">
        <f t="shared" si="159"/>
        <v>872704.43808097718</v>
      </c>
      <c r="BB33" s="100">
        <f t="shared" si="159"/>
        <v>699908.95934094372</v>
      </c>
      <c r="BC33" s="100">
        <f t="shared" si="159"/>
        <v>877073.41467411991</v>
      </c>
      <c r="BD33" s="100">
        <f t="shared" si="159"/>
        <v>879266.09821080521</v>
      </c>
      <c r="BE33" s="100">
        <f t="shared" si="159"/>
        <v>881464.2634563325</v>
      </c>
      <c r="BF33" s="100">
        <f t="shared" si="159"/>
        <v>883667.92411497317</v>
      </c>
      <c r="BG33" s="100">
        <f t="shared" si="159"/>
        <v>708701.67514020833</v>
      </c>
      <c r="BH33" s="100">
        <f t="shared" si="159"/>
        <v>888091.78666007356</v>
      </c>
      <c r="BI33" s="100">
        <f t="shared" si="159"/>
        <v>890312.01612672373</v>
      </c>
      <c r="BJ33" s="100">
        <f t="shared" si="159"/>
        <v>892537.79616704048</v>
      </c>
    </row>
    <row r="34" spans="1:62" s="6" customFormat="1" ht="12">
      <c r="A34" s="19" t="s">
        <v>274</v>
      </c>
      <c r="B34" s="111">
        <f>SUM(C34:BJ34)</f>
        <v>54480180.203843981</v>
      </c>
      <c r="C34" s="100">
        <f t="shared" ref="C34:AH34" si="160">C26+C15+C7</f>
        <v>2155133.3987333337</v>
      </c>
      <c r="D34" s="100">
        <f t="shared" si="160"/>
        <v>1063815.4509645</v>
      </c>
      <c r="E34" s="100">
        <f t="shared" si="160"/>
        <v>797941.23881293752</v>
      </c>
      <c r="F34" s="100">
        <f t="shared" ref="F34" si="161">F26+F15+F7</f>
        <v>700704.55282797595</v>
      </c>
      <c r="G34" s="100">
        <f t="shared" si="160"/>
        <v>800039.58198130724</v>
      </c>
      <c r="H34" s="100">
        <f t="shared" si="160"/>
        <v>801093.4068112605</v>
      </c>
      <c r="I34" s="100">
        <f t="shared" si="160"/>
        <v>802150.21070328879</v>
      </c>
      <c r="J34" s="100">
        <f t="shared" si="160"/>
        <v>803210.20135504683</v>
      </c>
      <c r="K34" s="100">
        <f t="shared" si="160"/>
        <v>704754.29918674752</v>
      </c>
      <c r="L34" s="100">
        <f t="shared" si="160"/>
        <v>805339.37382464297</v>
      </c>
      <c r="M34" s="100">
        <f t="shared" si="160"/>
        <v>806408.67113420437</v>
      </c>
      <c r="N34" s="100">
        <f t="shared" si="160"/>
        <v>807480.98618703999</v>
      </c>
      <c r="O34" s="100">
        <f t="shared" si="160"/>
        <v>1363608.7899547208</v>
      </c>
      <c r="P34" s="100">
        <f t="shared" si="160"/>
        <v>1088048.7734878305</v>
      </c>
      <c r="Q34" s="100">
        <f t="shared" si="160"/>
        <v>812361.21584624983</v>
      </c>
      <c r="R34" s="100">
        <f t="shared" si="160"/>
        <v>712172.49400869245</v>
      </c>
      <c r="S34" s="100">
        <f t="shared" si="160"/>
        <v>814534.20108589262</v>
      </c>
      <c r="T34" s="100">
        <f t="shared" si="160"/>
        <v>815625.48696360725</v>
      </c>
      <c r="U34" s="100">
        <f t="shared" si="160"/>
        <v>816719.94555601629</v>
      </c>
      <c r="V34" s="100">
        <f t="shared" si="160"/>
        <v>817817.48479490634</v>
      </c>
      <c r="W34" s="100">
        <f t="shared" si="160"/>
        <v>716372.36010551488</v>
      </c>
      <c r="X34" s="100">
        <f t="shared" si="160"/>
        <v>820022.33703847323</v>
      </c>
      <c r="Y34" s="100">
        <f t="shared" si="160"/>
        <v>821191.53764641006</v>
      </c>
      <c r="Z34" s="100">
        <f t="shared" si="160"/>
        <v>822468.29859802604</v>
      </c>
      <c r="AA34" s="100">
        <f t="shared" si="160"/>
        <v>1402788.9464040422</v>
      </c>
      <c r="AB34" s="100">
        <f t="shared" si="160"/>
        <v>1118851.9428740642</v>
      </c>
      <c r="AC34" s="100">
        <f t="shared" si="160"/>
        <v>834333.12401539751</v>
      </c>
      <c r="AD34" s="100">
        <f t="shared" si="160"/>
        <v>731102.37428834883</v>
      </c>
      <c r="AE34" s="100">
        <f t="shared" si="160"/>
        <v>836583.02163633716</v>
      </c>
      <c r="AF34" s="100">
        <f t="shared" si="160"/>
        <v>837712.80797542783</v>
      </c>
      <c r="AG34" s="100">
        <f t="shared" si="160"/>
        <v>838845.96353036643</v>
      </c>
      <c r="AH34" s="100">
        <f t="shared" si="160"/>
        <v>839982.3964741925</v>
      </c>
      <c r="AI34" s="100">
        <f t="shared" ref="AI34:AL34" si="162">AI26+AI15+AI7</f>
        <v>735457.0292003022</v>
      </c>
      <c r="AJ34" s="100">
        <f t="shared" si="162"/>
        <v>842601.61758768617</v>
      </c>
      <c r="AK34" s="100">
        <f t="shared" si="162"/>
        <v>843917.9915453553</v>
      </c>
      <c r="AL34" s="100">
        <f t="shared" si="162"/>
        <v>845237.93892791867</v>
      </c>
      <c r="AM34" s="100">
        <f t="shared" ref="AM34:BJ34" si="163">AM26+AM15+AM7</f>
        <v>1442868.8617074767</v>
      </c>
      <c r="AN34" s="100">
        <f t="shared" si="163"/>
        <v>1150299.9950368346</v>
      </c>
      <c r="AO34" s="100">
        <f t="shared" si="163"/>
        <v>856617.09758889244</v>
      </c>
      <c r="AP34" s="100">
        <f t="shared" si="163"/>
        <v>750251.99682473158</v>
      </c>
      <c r="AQ34" s="100">
        <f t="shared" si="163"/>
        <v>858946.2469548044</v>
      </c>
      <c r="AR34" s="100">
        <f t="shared" si="163"/>
        <v>860276.98898761231</v>
      </c>
      <c r="AS34" s="100">
        <f t="shared" si="163"/>
        <v>861622.78150758229</v>
      </c>
      <c r="AT34" s="100">
        <f t="shared" si="163"/>
        <v>862972.38520385232</v>
      </c>
      <c r="AU34" s="100">
        <f t="shared" si="163"/>
        <v>754766.14860174758</v>
      </c>
      <c r="AV34" s="100">
        <f t="shared" si="163"/>
        <v>865682.73544036224</v>
      </c>
      <c r="AW34" s="100">
        <f t="shared" si="163"/>
        <v>867043.58269646403</v>
      </c>
      <c r="AX34" s="100">
        <f t="shared" si="163"/>
        <v>868408.19656070613</v>
      </c>
      <c r="AY34" s="100">
        <f t="shared" si="163"/>
        <v>1484314.3869092858</v>
      </c>
      <c r="AZ34" s="100">
        <f t="shared" si="163"/>
        <v>1182851.2772147187</v>
      </c>
      <c r="BA34" s="100">
        <f t="shared" si="163"/>
        <v>879873.90909491095</v>
      </c>
      <c r="BB34" s="100">
        <f t="shared" si="163"/>
        <v>770162.78189583367</v>
      </c>
      <c r="BC34" s="100">
        <f t="shared" si="163"/>
        <v>882637.27241708327</v>
      </c>
      <c r="BD34" s="100">
        <f t="shared" si="163"/>
        <v>884024.60250310285</v>
      </c>
      <c r="BE34" s="100">
        <f t="shared" si="163"/>
        <v>885415.84760933742</v>
      </c>
      <c r="BF34" s="100">
        <f t="shared" si="163"/>
        <v>886810.85331833758</v>
      </c>
      <c r="BG34" s="100">
        <f t="shared" si="163"/>
        <v>774841.28178768826</v>
      </c>
      <c r="BH34" s="100">
        <f t="shared" si="163"/>
        <v>889612.59499467863</v>
      </c>
      <c r="BI34" s="100">
        <f t="shared" si="163"/>
        <v>891019.18624714203</v>
      </c>
      <c r="BJ34" s="100">
        <f t="shared" si="163"/>
        <v>892429.74067273678</v>
      </c>
    </row>
    <row r="35" spans="1:62" s="17" customFormat="1">
      <c r="A35" s="74" t="s">
        <v>275</v>
      </c>
      <c r="B35" s="111">
        <f>BJ35</f>
        <v>1103267.0784736313</v>
      </c>
      <c r="C35" s="111">
        <f>C32+C33-C34</f>
        <v>645402.13469999982</v>
      </c>
      <c r="D35" s="111">
        <f t="shared" ref="D35:AL35" si="164">D32+D33-D34</f>
        <v>748454.22873133305</v>
      </c>
      <c r="E35" s="111">
        <f t="shared" si="164"/>
        <v>733208.64304616663</v>
      </c>
      <c r="F35" s="111">
        <f t="shared" ref="F35" si="165">F32+F33-F34</f>
        <v>661920.95002666279</v>
      </c>
      <c r="G35" s="111">
        <f t="shared" si="164"/>
        <v>648452.53611784719</v>
      </c>
      <c r="H35" s="111">
        <f t="shared" si="164"/>
        <v>635875.32446592615</v>
      </c>
      <c r="I35" s="111">
        <f t="shared" si="164"/>
        <v>615630.86524320848</v>
      </c>
      <c r="J35" s="111">
        <f t="shared" si="164"/>
        <v>596281.1797474341</v>
      </c>
      <c r="K35" s="111">
        <f t="shared" si="164"/>
        <v>520183.01427982328</v>
      </c>
      <c r="L35" s="111">
        <f t="shared" si="164"/>
        <v>502628.3580219734</v>
      </c>
      <c r="M35" s="111">
        <f t="shared" si="164"/>
        <v>485973.86624847888</v>
      </c>
      <c r="N35" s="111">
        <f t="shared" si="164"/>
        <v>470221.44487055053</v>
      </c>
      <c r="O35" s="111">
        <f t="shared" si="164"/>
        <v>694028.42735809856</v>
      </c>
      <c r="P35" s="111">
        <f t="shared" si="164"/>
        <v>799517.88777529867</v>
      </c>
      <c r="Q35" s="111">
        <f t="shared" si="164"/>
        <v>784838.05825557746</v>
      </c>
      <c r="R35" s="111">
        <f t="shared" si="164"/>
        <v>712406.03608076111</v>
      </c>
      <c r="S35" s="111">
        <f t="shared" si="164"/>
        <v>699546.61376169452</v>
      </c>
      <c r="T35" s="111">
        <f t="shared" si="164"/>
        <v>687600.09251183004</v>
      </c>
      <c r="U35" s="111">
        <f t="shared" si="164"/>
        <v>676568.31008384086</v>
      </c>
      <c r="V35" s="111">
        <f t="shared" si="164"/>
        <v>666453.2088247817</v>
      </c>
      <c r="W35" s="111">
        <f t="shared" si="164"/>
        <v>597858.1603150164</v>
      </c>
      <c r="X35" s="111">
        <f t="shared" si="164"/>
        <v>589581.76686996641</v>
      </c>
      <c r="Y35" s="111">
        <f t="shared" si="164"/>
        <v>582165.53767596325</v>
      </c>
      <c r="Z35" s="111">
        <f t="shared" si="164"/>
        <v>575506.98580147501</v>
      </c>
      <c r="AA35" s="111">
        <f t="shared" si="164"/>
        <v>808416.58157812618</v>
      </c>
      <c r="AB35" s="111">
        <f t="shared" si="164"/>
        <v>919405.48010617099</v>
      </c>
      <c r="AC35" s="111">
        <f t="shared" si="164"/>
        <v>907015.98509451596</v>
      </c>
      <c r="AD35" s="111">
        <f t="shared" si="164"/>
        <v>835112.40126716869</v>
      </c>
      <c r="AE35" s="111">
        <f t="shared" si="164"/>
        <v>824587.86392727389</v>
      </c>
      <c r="AF35" s="111">
        <f t="shared" si="164"/>
        <v>814998.68645902991</v>
      </c>
      <c r="AG35" s="111">
        <f t="shared" si="164"/>
        <v>806346.66251211532</v>
      </c>
      <c r="AH35" s="111">
        <f t="shared" si="164"/>
        <v>798633.69047033309</v>
      </c>
      <c r="AI35" s="111">
        <f t="shared" si="164"/>
        <v>730656.73966482398</v>
      </c>
      <c r="AJ35" s="111">
        <f t="shared" si="164"/>
        <v>724491.09531561274</v>
      </c>
      <c r="AK35" s="111">
        <f t="shared" si="164"/>
        <v>719100.16694182868</v>
      </c>
      <c r="AL35" s="111">
        <f t="shared" si="164"/>
        <v>714485.60884340992</v>
      </c>
      <c r="AM35" s="111">
        <f t="shared" ref="AM35:BJ35" si="166">AM32+AM33-AM34</f>
        <v>957066.62569908076</v>
      </c>
      <c r="AN35" s="111">
        <f t="shared" si="166"/>
        <v>1074014.2581069127</v>
      </c>
      <c r="AO35" s="111">
        <f t="shared" si="166"/>
        <v>1064340.9915268719</v>
      </c>
      <c r="AP35" s="111">
        <f t="shared" si="166"/>
        <v>993337.94717123965</v>
      </c>
      <c r="AQ35" s="111">
        <f t="shared" si="166"/>
        <v>985575.54377927503</v>
      </c>
      <c r="AR35" s="111">
        <f t="shared" si="166"/>
        <v>978610.35796340951</v>
      </c>
      <c r="AS35" s="111">
        <f t="shared" si="166"/>
        <v>972432.65913550335</v>
      </c>
      <c r="AT35" s="111">
        <f t="shared" si="166"/>
        <v>967043.96931802621</v>
      </c>
      <c r="AU35" s="111">
        <f t="shared" si="166"/>
        <v>900059.94441615138</v>
      </c>
      <c r="AV35" s="111">
        <f t="shared" si="166"/>
        <v>896254.18273719237</v>
      </c>
      <c r="AW35" s="111">
        <f t="shared" si="166"/>
        <v>893242.26623653492</v>
      </c>
      <c r="AX35" s="111">
        <f t="shared" si="166"/>
        <v>891025.81503712491</v>
      </c>
      <c r="AY35" s="111">
        <f t="shared" si="166"/>
        <v>1143425.8775772376</v>
      </c>
      <c r="AZ35" s="111">
        <f t="shared" si="166"/>
        <v>1266366.7770422848</v>
      </c>
      <c r="BA35" s="111">
        <f t="shared" si="166"/>
        <v>1259197.3060283512</v>
      </c>
      <c r="BB35" s="111">
        <f t="shared" si="166"/>
        <v>1188943.4834734611</v>
      </c>
      <c r="BC35" s="111">
        <f t="shared" si="166"/>
        <v>1183379.6257304978</v>
      </c>
      <c r="BD35" s="111">
        <f t="shared" si="166"/>
        <v>1178621.1214382001</v>
      </c>
      <c r="BE35" s="111">
        <f t="shared" si="166"/>
        <v>1174669.5372851952</v>
      </c>
      <c r="BF35" s="111">
        <f t="shared" si="166"/>
        <v>1171526.6080818309</v>
      </c>
      <c r="BG35" s="111">
        <f t="shared" si="166"/>
        <v>1105387.0014343509</v>
      </c>
      <c r="BH35" s="111">
        <f t="shared" si="166"/>
        <v>1103866.1930997458</v>
      </c>
      <c r="BI35" s="111">
        <f t="shared" si="166"/>
        <v>1103159.0229793275</v>
      </c>
      <c r="BJ35" s="111">
        <f t="shared" si="166"/>
        <v>1103267.0784736313</v>
      </c>
    </row>
    <row r="36" spans="1:62" s="6" customFormat="1" ht="12">
      <c r="A36" s="129"/>
      <c r="B36" s="28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</row>
    <row r="37" spans="1:62" s="4" customFormat="1">
      <c r="A37" s="73" t="s">
        <v>276</v>
      </c>
      <c r="B37" s="111">
        <f>SUM(C37:BJ37)</f>
        <v>1103267.0784736322</v>
      </c>
      <c r="C37" s="111">
        <f>C33-C34</f>
        <v>645402.13469999982</v>
      </c>
      <c r="D37" s="111">
        <f>D33-D34</f>
        <v>103052.09403133322</v>
      </c>
      <c r="E37" s="111">
        <f t="shared" ref="E37:AL37" si="167">E33-E34</f>
        <v>-15245.58568516653</v>
      </c>
      <c r="F37" s="111">
        <f t="shared" ref="F37" si="168">F33-F34</f>
        <v>-71287.693019503728</v>
      </c>
      <c r="G37" s="111">
        <f t="shared" si="167"/>
        <v>-13468.41390881571</v>
      </c>
      <c r="H37" s="111">
        <f t="shared" si="167"/>
        <v>-12577.211651921039</v>
      </c>
      <c r="I37" s="111">
        <f t="shared" si="167"/>
        <v>-20244.45922271756</v>
      </c>
      <c r="J37" s="111">
        <f t="shared" si="167"/>
        <v>-19349.685495774262</v>
      </c>
      <c r="K37" s="111">
        <f t="shared" si="167"/>
        <v>-76098.165467610816</v>
      </c>
      <c r="L37" s="111">
        <f t="shared" si="167"/>
        <v>-17554.656257849885</v>
      </c>
      <c r="M37" s="111">
        <f t="shared" si="167"/>
        <v>-16654.491773494403</v>
      </c>
      <c r="N37" s="111">
        <f t="shared" si="167"/>
        <v>-15752.421377928345</v>
      </c>
      <c r="O37" s="111">
        <f t="shared" si="167"/>
        <v>223806.98248754814</v>
      </c>
      <c r="P37" s="111">
        <f t="shared" si="167"/>
        <v>105489.46041720011</v>
      </c>
      <c r="Q37" s="111">
        <f t="shared" si="167"/>
        <v>-14679.829519721097</v>
      </c>
      <c r="R37" s="111">
        <f t="shared" si="167"/>
        <v>-72432.022174816346</v>
      </c>
      <c r="S37" s="111">
        <f t="shared" si="167"/>
        <v>-12859.422319066711</v>
      </c>
      <c r="T37" s="111">
        <f t="shared" si="167"/>
        <v>-11946.521249864483</v>
      </c>
      <c r="U37" s="111">
        <f t="shared" si="167"/>
        <v>-11031.782427989179</v>
      </c>
      <c r="V37" s="111">
        <f t="shared" si="167"/>
        <v>-10115.101259059273</v>
      </c>
      <c r="W37" s="111">
        <f t="shared" si="167"/>
        <v>-68595.048509765416</v>
      </c>
      <c r="X37" s="111">
        <f t="shared" si="167"/>
        <v>-8276.3934450498782</v>
      </c>
      <c r="Y37" s="111">
        <f t="shared" si="167"/>
        <v>-7416.2291940032737</v>
      </c>
      <c r="Z37" s="111">
        <f t="shared" si="167"/>
        <v>-6658.5518744882429</v>
      </c>
      <c r="AA37" s="111">
        <f t="shared" si="167"/>
        <v>232909.59577665129</v>
      </c>
      <c r="AB37" s="111">
        <f t="shared" si="167"/>
        <v>110988.89852804481</v>
      </c>
      <c r="AC37" s="111">
        <f t="shared" si="167"/>
        <v>-12389.495011655032</v>
      </c>
      <c r="AD37" s="111">
        <f t="shared" si="167"/>
        <v>-71903.583827347145</v>
      </c>
      <c r="AE37" s="111">
        <f t="shared" si="167"/>
        <v>-10524.537339894683</v>
      </c>
      <c r="AF37" s="111">
        <f t="shared" si="167"/>
        <v>-9589.1774682439864</v>
      </c>
      <c r="AG37" s="111">
        <f t="shared" si="167"/>
        <v>-8652.023946914589</v>
      </c>
      <c r="AH37" s="111">
        <f t="shared" si="167"/>
        <v>-7712.9720417821081</v>
      </c>
      <c r="AI37" s="111">
        <f t="shared" si="167"/>
        <v>-67976.950805509114</v>
      </c>
      <c r="AJ37" s="111">
        <f t="shared" si="167"/>
        <v>-6165.6443492111284</v>
      </c>
      <c r="AK37" s="111">
        <f t="shared" si="167"/>
        <v>-5390.9283737841761</v>
      </c>
      <c r="AL37" s="111">
        <f t="shared" si="167"/>
        <v>-4614.5580984186381</v>
      </c>
      <c r="AM37" s="111">
        <f t="shared" ref="AM37:BJ37" si="169">AM33-AM34</f>
        <v>242581.01685567084</v>
      </c>
      <c r="AN37" s="111">
        <f t="shared" si="169"/>
        <v>116947.63240783173</v>
      </c>
      <c r="AO37" s="111">
        <f t="shared" si="169"/>
        <v>-9673.266580040683</v>
      </c>
      <c r="AP37" s="111">
        <f t="shared" si="169"/>
        <v>-71003.044355632388</v>
      </c>
      <c r="AQ37" s="111">
        <f t="shared" si="169"/>
        <v>-7762.4033919646172</v>
      </c>
      <c r="AR37" s="111">
        <f t="shared" si="169"/>
        <v>-6965.1858158655232</v>
      </c>
      <c r="AS37" s="111">
        <f t="shared" si="169"/>
        <v>-6177.6988279060461</v>
      </c>
      <c r="AT37" s="111">
        <f t="shared" si="169"/>
        <v>-5388.6898174770176</v>
      </c>
      <c r="AU37" s="111">
        <f t="shared" si="169"/>
        <v>-66984.024901874713</v>
      </c>
      <c r="AV37" s="111">
        <f t="shared" si="169"/>
        <v>-3805.7616789590102</v>
      </c>
      <c r="AW37" s="111">
        <f t="shared" si="169"/>
        <v>-3011.9165006574476</v>
      </c>
      <c r="AX37" s="111">
        <f t="shared" si="169"/>
        <v>-2216.4511994100176</v>
      </c>
      <c r="AY37" s="111">
        <f t="shared" si="169"/>
        <v>252400.06254011276</v>
      </c>
      <c r="AZ37" s="111">
        <f t="shared" si="169"/>
        <v>122940.89946504752</v>
      </c>
      <c r="BA37" s="111">
        <f t="shared" si="169"/>
        <v>-7169.4710139337694</v>
      </c>
      <c r="BB37" s="111">
        <f t="shared" si="169"/>
        <v>-70253.82255488995</v>
      </c>
      <c r="BC37" s="111">
        <f t="shared" si="169"/>
        <v>-5563.8577429633588</v>
      </c>
      <c r="BD37" s="111">
        <f t="shared" si="169"/>
        <v>-4758.5042922976427</v>
      </c>
      <c r="BE37" s="111">
        <f t="shared" si="169"/>
        <v>-3951.584153004922</v>
      </c>
      <c r="BF37" s="111">
        <f t="shared" si="169"/>
        <v>-3142.929203364416</v>
      </c>
      <c r="BG37" s="111">
        <f t="shared" si="169"/>
        <v>-66139.60664747993</v>
      </c>
      <c r="BH37" s="111">
        <f t="shared" si="169"/>
        <v>-1520.8083346050698</v>
      </c>
      <c r="BI37" s="111">
        <f t="shared" si="169"/>
        <v>-707.17012041830458</v>
      </c>
      <c r="BJ37" s="111">
        <f t="shared" si="169"/>
        <v>108.05549430369865</v>
      </c>
    </row>
    <row r="38" spans="1:62" s="17" customFormat="1" ht="12">
      <c r="A38" s="49" t="s">
        <v>189</v>
      </c>
      <c r="B38" s="111">
        <f>BJ38</f>
        <v>1103267.0784736322</v>
      </c>
      <c r="C38" s="111">
        <f>C37</f>
        <v>645402.13469999982</v>
      </c>
      <c r="D38" s="111">
        <f>C38+D37</f>
        <v>748454.22873133305</v>
      </c>
      <c r="E38" s="111">
        <f t="shared" ref="E38:AL38" si="170">D38+E37</f>
        <v>733208.64304616651</v>
      </c>
      <c r="F38" s="111">
        <f t="shared" si="170"/>
        <v>661920.95002666279</v>
      </c>
      <c r="G38" s="111">
        <f t="shared" si="170"/>
        <v>648452.53611784708</v>
      </c>
      <c r="H38" s="111">
        <f t="shared" si="170"/>
        <v>635875.32446592604</v>
      </c>
      <c r="I38" s="111">
        <f t="shared" si="170"/>
        <v>615630.86524320848</v>
      </c>
      <c r="J38" s="111">
        <f t="shared" si="170"/>
        <v>596281.17974743422</v>
      </c>
      <c r="K38" s="111">
        <f t="shared" si="170"/>
        <v>520183.0142798234</v>
      </c>
      <c r="L38" s="111">
        <f t="shared" si="170"/>
        <v>502628.35802197352</v>
      </c>
      <c r="M38" s="111">
        <f t="shared" si="170"/>
        <v>485973.86624847911</v>
      </c>
      <c r="N38" s="111">
        <f t="shared" si="170"/>
        <v>470221.44487055077</v>
      </c>
      <c r="O38" s="111">
        <f t="shared" si="170"/>
        <v>694028.42735809891</v>
      </c>
      <c r="P38" s="111">
        <f t="shared" si="170"/>
        <v>799517.88777529902</v>
      </c>
      <c r="Q38" s="111">
        <f t="shared" si="170"/>
        <v>784838.05825557793</v>
      </c>
      <c r="R38" s="111">
        <f t="shared" si="170"/>
        <v>712406.03608076158</v>
      </c>
      <c r="S38" s="111">
        <f t="shared" si="170"/>
        <v>699546.61376169487</v>
      </c>
      <c r="T38" s="111">
        <f t="shared" si="170"/>
        <v>687600.09251183039</v>
      </c>
      <c r="U38" s="111">
        <f t="shared" si="170"/>
        <v>676568.31008384121</v>
      </c>
      <c r="V38" s="111">
        <f t="shared" si="170"/>
        <v>666453.20882478193</v>
      </c>
      <c r="W38" s="111">
        <f t="shared" si="170"/>
        <v>597858.16031501652</v>
      </c>
      <c r="X38" s="111">
        <f t="shared" si="170"/>
        <v>589581.76686996664</v>
      </c>
      <c r="Y38" s="111">
        <f t="shared" si="170"/>
        <v>582165.53767596337</v>
      </c>
      <c r="Z38" s="111">
        <f t="shared" si="170"/>
        <v>575506.98580147512</v>
      </c>
      <c r="AA38" s="111">
        <f t="shared" si="170"/>
        <v>808416.58157812641</v>
      </c>
      <c r="AB38" s="111">
        <f t="shared" si="170"/>
        <v>919405.48010617122</v>
      </c>
      <c r="AC38" s="111">
        <f t="shared" si="170"/>
        <v>907015.98509451619</v>
      </c>
      <c r="AD38" s="111">
        <f t="shared" si="170"/>
        <v>835112.40126716904</v>
      </c>
      <c r="AE38" s="111">
        <f t="shared" si="170"/>
        <v>824587.86392727436</v>
      </c>
      <c r="AF38" s="111">
        <f t="shared" si="170"/>
        <v>814998.68645903037</v>
      </c>
      <c r="AG38" s="111">
        <f t="shared" si="170"/>
        <v>806346.66251211578</v>
      </c>
      <c r="AH38" s="111">
        <f t="shared" si="170"/>
        <v>798633.69047033368</v>
      </c>
      <c r="AI38" s="111">
        <f t="shared" si="170"/>
        <v>730656.73966482456</v>
      </c>
      <c r="AJ38" s="111">
        <f t="shared" si="170"/>
        <v>724491.09531561343</v>
      </c>
      <c r="AK38" s="111">
        <f t="shared" si="170"/>
        <v>719100.16694182926</v>
      </c>
      <c r="AL38" s="111">
        <f t="shared" si="170"/>
        <v>714485.60884341062</v>
      </c>
      <c r="AM38" s="111">
        <f t="shared" ref="AM38" si="171">AL38+AM37</f>
        <v>957066.62569908146</v>
      </c>
      <c r="AN38" s="111">
        <f t="shared" ref="AN38" si="172">AM38+AN37</f>
        <v>1074014.2581069132</v>
      </c>
      <c r="AO38" s="111">
        <f t="shared" ref="AO38" si="173">AN38+AO37</f>
        <v>1064340.9915268724</v>
      </c>
      <c r="AP38" s="111">
        <f t="shared" ref="AP38" si="174">AO38+AP37</f>
        <v>993337.94717124</v>
      </c>
      <c r="AQ38" s="111">
        <f t="shared" ref="AQ38" si="175">AP38+AQ37</f>
        <v>985575.54377927538</v>
      </c>
      <c r="AR38" s="111">
        <f t="shared" ref="AR38" si="176">AQ38+AR37</f>
        <v>978610.35796340986</v>
      </c>
      <c r="AS38" s="111">
        <f t="shared" ref="AS38" si="177">AR38+AS37</f>
        <v>972432.65913550381</v>
      </c>
      <c r="AT38" s="111">
        <f t="shared" ref="AT38" si="178">AS38+AT37</f>
        <v>967043.96931802679</v>
      </c>
      <c r="AU38" s="111">
        <f t="shared" ref="AU38" si="179">AT38+AU37</f>
        <v>900059.94441615208</v>
      </c>
      <c r="AV38" s="111">
        <f t="shared" ref="AV38" si="180">AU38+AV37</f>
        <v>896254.18273719307</v>
      </c>
      <c r="AW38" s="111">
        <f t="shared" ref="AW38" si="181">AV38+AW37</f>
        <v>893242.26623653562</v>
      </c>
      <c r="AX38" s="111">
        <f t="shared" ref="AX38" si="182">AW38+AX37</f>
        <v>891025.81503712561</v>
      </c>
      <c r="AY38" s="111">
        <f t="shared" ref="AY38" si="183">AX38+AY37</f>
        <v>1143425.8775772383</v>
      </c>
      <c r="AZ38" s="111">
        <f t="shared" ref="AZ38" si="184">AY38+AZ37</f>
        <v>1266366.7770422858</v>
      </c>
      <c r="BA38" s="111">
        <f t="shared" ref="BA38" si="185">AZ38+BA37</f>
        <v>1259197.3060283521</v>
      </c>
      <c r="BB38" s="111">
        <f t="shared" ref="BB38" si="186">BA38+BB37</f>
        <v>1188943.4834734621</v>
      </c>
      <c r="BC38" s="111">
        <f t="shared" ref="BC38" si="187">BB38+BC37</f>
        <v>1183379.6257304987</v>
      </c>
      <c r="BD38" s="111">
        <f t="shared" ref="BD38" si="188">BC38+BD37</f>
        <v>1178621.1214382011</v>
      </c>
      <c r="BE38" s="111">
        <f t="shared" ref="BE38" si="189">BD38+BE37</f>
        <v>1174669.5372851961</v>
      </c>
      <c r="BF38" s="111">
        <f t="shared" ref="BF38" si="190">BE38+BF37</f>
        <v>1171526.6080818316</v>
      </c>
      <c r="BG38" s="111">
        <f t="shared" ref="BG38" si="191">BF38+BG37</f>
        <v>1105387.0014343518</v>
      </c>
      <c r="BH38" s="111">
        <f t="shared" ref="BH38" si="192">BG38+BH37</f>
        <v>1103866.1930997467</v>
      </c>
      <c r="BI38" s="111">
        <f t="shared" ref="BI38" si="193">BH38+BI37</f>
        <v>1103159.0229793284</v>
      </c>
      <c r="BJ38" s="111">
        <f t="shared" ref="BJ38" si="194">BI38+BJ37</f>
        <v>1103267.0784736322</v>
      </c>
    </row>
    <row r="39" spans="1:62">
      <c r="A39" s="15"/>
      <c r="B39" s="27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</row>
    <row r="40" spans="1:62">
      <c r="A40" s="15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</row>
    <row r="41" spans="1:62">
      <c r="A41" s="15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</row>
    <row r="42" spans="1:6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</row>
    <row r="43" spans="1:62">
      <c r="A43" s="15"/>
      <c r="B43" s="15"/>
      <c r="C43" s="15"/>
      <c r="D43" s="15"/>
      <c r="E43" s="15"/>
      <c r="F43" s="15"/>
      <c r="G43" s="15"/>
      <c r="H43" s="15"/>
      <c r="I43" s="15"/>
      <c r="J43" s="100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</row>
    <row r="44" spans="1:6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</row>
    <row r="45" spans="1:6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</row>
    <row r="46" spans="1:6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</row>
    <row r="47" spans="1:6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</row>
    <row r="48" spans="1:6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</row>
    <row r="49" spans="1:6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</row>
    <row r="50" spans="1:6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</row>
    <row r="51" spans="1:6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</row>
    <row r="52" spans="1:6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</row>
    <row r="53" spans="1:6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</row>
    <row r="54" spans="1:6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</row>
    <row r="55" spans="1:6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</row>
    <row r="56" spans="1:6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</row>
    <row r="57" spans="1:6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</row>
    <row r="58" spans="1:6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</row>
    <row r="59" spans="1:6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</row>
    <row r="60" spans="1:6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</row>
    <row r="61" spans="1:6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</row>
    <row r="62" spans="1:6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</row>
    <row r="63" spans="1:6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</row>
    <row r="64" spans="1:6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</row>
    <row r="65" spans="1:6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</row>
    <row r="66" spans="1:6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</row>
    <row r="67" spans="1:6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</row>
    <row r="68" spans="1:6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</row>
    <row r="69" spans="1:6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</row>
    <row r="70" spans="1:6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</row>
    <row r="71" spans="1:6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</row>
    <row r="72" spans="1:6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</row>
    <row r="73" spans="1:6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</row>
    <row r="74" spans="1:6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</row>
    <row r="75" spans="1:6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</row>
    <row r="76" spans="1:62" ht="18">
      <c r="A76" s="32" t="s">
        <v>246</v>
      </c>
      <c r="B76" s="15"/>
      <c r="C76" s="15"/>
      <c r="D76" s="15"/>
      <c r="E76" s="15"/>
      <c r="F76" s="15"/>
      <c r="G76" s="15"/>
      <c r="H76" s="15"/>
      <c r="I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</row>
    <row r="77" spans="1:62">
      <c r="A77" s="15"/>
      <c r="B77" s="15"/>
      <c r="C77" s="15"/>
      <c r="D77" s="15"/>
      <c r="E77" s="15"/>
      <c r="F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</row>
    <row r="78" spans="1:62">
      <c r="A78" s="64" t="s">
        <v>277</v>
      </c>
      <c r="B78" s="65" t="s">
        <v>250</v>
      </c>
      <c r="C78" s="65" t="s">
        <v>30</v>
      </c>
      <c r="D78" s="65" t="s">
        <v>31</v>
      </c>
      <c r="E78" s="65" t="s">
        <v>32</v>
      </c>
      <c r="F78" s="65" t="s">
        <v>33</v>
      </c>
      <c r="G78" s="65" t="s">
        <v>34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</row>
    <row r="79" spans="1:62" s="10" customFormat="1">
      <c r="A79" s="66" t="str">
        <f t="shared" ref="A79:A84" si="195">A6</f>
        <v>1. Надходження від операційної діяльності:</v>
      </c>
      <c r="B79" s="132">
        <f>SUM(C79:G79)</f>
        <v>54280668.302217625</v>
      </c>
      <c r="C79" s="68">
        <f>SUM(C6:N6)</f>
        <v>10215513.837292837</v>
      </c>
      <c r="D79" s="68">
        <f>SUM(O6:Z6)</f>
        <v>10526228.466017265</v>
      </c>
      <c r="E79" s="68">
        <f>SUM(AA6:AL6)</f>
        <v>10846393.777501376</v>
      </c>
      <c r="F79" s="68">
        <f>SUM(AM6:AX6)</f>
        <v>11176297.223304782</v>
      </c>
      <c r="G79" s="68">
        <f>SUM(AY6:BJ6)</f>
        <v>11516234.998101363</v>
      </c>
      <c r="H79"/>
    </row>
    <row r="80" spans="1:62">
      <c r="A80" s="66" t="str">
        <f t="shared" si="195"/>
        <v>2. Платежі по операційній діяльності:</v>
      </c>
      <c r="B80" s="132">
        <f>SUM(C80:G80)</f>
        <v>52309412.270510651</v>
      </c>
      <c r="C80" s="68">
        <f>SUM(C7:N7)</f>
        <v>9905924.0391889494</v>
      </c>
      <c r="D80" s="68">
        <f>SUM(O7:Z7)</f>
        <v>10125374.625086339</v>
      </c>
      <c r="E80" s="68">
        <f>SUM(AA7:AL7)</f>
        <v>10437455.654459439</v>
      </c>
      <c r="F80" s="68">
        <f>SUM(AM7:AX7)</f>
        <v>10755406.217111068</v>
      </c>
      <c r="G80" s="68">
        <f>SUM(AY7:BJ7)</f>
        <v>11085251.734664857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</row>
    <row r="81" spans="1:62">
      <c r="A81" s="19" t="str">
        <f t="shared" si="195"/>
        <v>Витрати</v>
      </c>
      <c r="B81" s="132">
        <f>SUM(C81:G81)</f>
        <v>51901760.984946832</v>
      </c>
      <c r="C81" s="100">
        <f>SUM(C8:N8)</f>
        <v>9834438.0455869492</v>
      </c>
      <c r="D81" s="100">
        <f>SUM(O8:Z8)</f>
        <v>10049419.528585698</v>
      </c>
      <c r="E81" s="100">
        <f>SUM(AA8:AL8)</f>
        <v>10357065.379548475</v>
      </c>
      <c r="F81" s="100">
        <f>SUM(AM8:AX8)</f>
        <v>10669016.107140115</v>
      </c>
      <c r="G81" s="100">
        <f>SUM(AY8:BJ8)</f>
        <v>10991821.924085591</v>
      </c>
    </row>
    <row r="82" spans="1:62">
      <c r="A82" s="19" t="str">
        <f t="shared" si="195"/>
        <v>Податки</v>
      </c>
      <c r="B82" s="132">
        <f>SUM(C82:G82)</f>
        <v>407651.28556382394</v>
      </c>
      <c r="C82" s="100">
        <f>SUM(C9:N9)</f>
        <v>71485.993601999988</v>
      </c>
      <c r="D82" s="100">
        <f>SUM(O9:Z9)</f>
        <v>75955.096500641695</v>
      </c>
      <c r="E82" s="100">
        <f>SUM(AA9:AL9)</f>
        <v>80390.274910964319</v>
      </c>
      <c r="F82" s="100">
        <f>SUM(AM9:AX9)</f>
        <v>86390.10997095237</v>
      </c>
      <c r="G82" s="100">
        <f>SUM(AY9:BJ9)</f>
        <v>93429.81057926557</v>
      </c>
    </row>
    <row r="83" spans="1:62">
      <c r="A83" s="99" t="str">
        <f t="shared" si="195"/>
        <v>Сальдо від операційної діяльності</v>
      </c>
      <c r="B83" s="132">
        <f>SUM(C83:G83)</f>
        <v>1971256.0317069658</v>
      </c>
      <c r="C83" s="67">
        <f>SUM(C10:N10)</f>
        <v>309589.7981038841</v>
      </c>
      <c r="D83" s="67">
        <f>SUM(O10:Z10)</f>
        <v>400853.84093092452</v>
      </c>
      <c r="E83" s="67">
        <f>SUM(AA10:AL10)</f>
        <v>408938.12304193527</v>
      </c>
      <c r="F83" s="67">
        <f>SUM(AM10:AX10)</f>
        <v>420891.00619371515</v>
      </c>
      <c r="G83" s="67">
        <f>SUM(AY10:BJ10)</f>
        <v>430983.26343650674</v>
      </c>
    </row>
    <row r="84" spans="1:62">
      <c r="A84" s="99" t="str">
        <f t="shared" si="195"/>
        <v>Сальдо накопиченим ітогом</v>
      </c>
      <c r="B84" s="132">
        <f>G84</f>
        <v>1971256.0317069658</v>
      </c>
      <c r="C84" s="67">
        <f>C83</f>
        <v>309589.7981038841</v>
      </c>
      <c r="D84" s="67">
        <f>D83+C84</f>
        <v>710443.63903480861</v>
      </c>
      <c r="E84" s="67">
        <f>E83+D84</f>
        <v>1119381.7620767439</v>
      </c>
      <c r="F84" s="67">
        <f>F83+E84</f>
        <v>1540272.768270459</v>
      </c>
      <c r="G84" s="67">
        <f>G83+F84</f>
        <v>1971256.0317069658</v>
      </c>
    </row>
    <row r="85" spans="1:62">
      <c r="A85" s="15"/>
      <c r="B85" s="15"/>
      <c r="C85" s="15"/>
      <c r="D85" s="15"/>
      <c r="E85" s="15"/>
      <c r="F85" s="15"/>
      <c r="G85" s="15"/>
    </row>
    <row r="86" spans="1:62">
      <c r="A86" s="62" t="str">
        <f>A13</f>
        <v>Інвестиційна діяльність</v>
      </c>
      <c r="B86" s="132" t="str">
        <f t="shared" ref="B86:G86" si="196">B78</f>
        <v>Всього</v>
      </c>
      <c r="C86" s="132" t="str">
        <f t="shared" si="196"/>
        <v>1 год</v>
      </c>
      <c r="D86" s="132" t="str">
        <f t="shared" si="196"/>
        <v>2 год</v>
      </c>
      <c r="E86" s="132" t="str">
        <f t="shared" si="196"/>
        <v>3 год</v>
      </c>
      <c r="F86" s="132" t="str">
        <f t="shared" si="196"/>
        <v>4 год</v>
      </c>
      <c r="G86" s="132" t="str">
        <f t="shared" si="196"/>
        <v>5 год</v>
      </c>
    </row>
    <row r="87" spans="1:62">
      <c r="A87" s="69" t="str">
        <f>A14</f>
        <v>1. Надходження від інвестиційної діяльності:</v>
      </c>
      <c r="B87" s="132">
        <f>SUM(C87:G87)</f>
        <v>863772.00000000023</v>
      </c>
      <c r="C87" s="70">
        <f>SUM(C14:N14)</f>
        <v>863772.00000000023</v>
      </c>
      <c r="D87" s="70">
        <f>SUM(O14:Z14)</f>
        <v>0</v>
      </c>
      <c r="E87" s="70">
        <f>SUM(AA14:AL14)</f>
        <v>0</v>
      </c>
      <c r="F87" s="70">
        <f>SUM(AM14:AX14)</f>
        <v>0</v>
      </c>
      <c r="G87" s="70">
        <f>SUM(AY14:BJ14)</f>
        <v>0</v>
      </c>
    </row>
    <row r="88" spans="1:62">
      <c r="A88" s="69" t="str">
        <f>A15</f>
        <v>2. Платежі по інвестиційній діяльності:</v>
      </c>
      <c r="B88" s="132">
        <f>SUM(C88:G88)</f>
        <v>820970.33333333337</v>
      </c>
      <c r="C88" s="70">
        <f>SUM(C15:N15)</f>
        <v>820970.33333333337</v>
      </c>
      <c r="D88" s="70">
        <f>SUM(O15:Z15)</f>
        <v>0</v>
      </c>
      <c r="E88" s="70">
        <f>SUM(AA15:AL15)</f>
        <v>0</v>
      </c>
      <c r="F88" s="70">
        <f>SUM(AM15:AX15)</f>
        <v>0</v>
      </c>
      <c r="G88" s="70">
        <f>SUM(AY15:BJ15)</f>
        <v>0</v>
      </c>
    </row>
    <row r="89" spans="1:62">
      <c r="A89" s="101" t="str">
        <f>A16</f>
        <v>Сальдо інвестиційної діяльності</v>
      </c>
      <c r="B89" s="132">
        <f>SUM(C89:G89)</f>
        <v>42801.666666666672</v>
      </c>
      <c r="C89" s="72">
        <f>SUM(C16:N16)</f>
        <v>42801.666666666672</v>
      </c>
      <c r="D89" s="72">
        <f>SUM(O16:Z16)</f>
        <v>0</v>
      </c>
      <c r="E89" s="72">
        <f>SUM(AA16:AL16)</f>
        <v>0</v>
      </c>
      <c r="F89" s="72">
        <f>SUM(AM16:AX16)</f>
        <v>0</v>
      </c>
      <c r="G89" s="72">
        <f>SUM(AY16:BJ16)</f>
        <v>0</v>
      </c>
    </row>
    <row r="90" spans="1:62">
      <c r="A90" s="101" t="str">
        <f>A17</f>
        <v>Сальдо накопиченим ітогом</v>
      </c>
      <c r="B90" s="132">
        <f>G90</f>
        <v>42801.666666666672</v>
      </c>
      <c r="C90" s="72">
        <f>C89</f>
        <v>42801.666666666672</v>
      </c>
      <c r="D90" s="72">
        <f>C90+D89</f>
        <v>42801.666666666672</v>
      </c>
      <c r="E90" s="72">
        <f>D90+E89</f>
        <v>42801.666666666672</v>
      </c>
      <c r="F90" s="72">
        <f>E90+F89</f>
        <v>42801.666666666672</v>
      </c>
      <c r="G90" s="72">
        <f>F90+G89</f>
        <v>42801.666666666672</v>
      </c>
    </row>
    <row r="91" spans="1:62">
      <c r="A91" s="15"/>
      <c r="B91" s="59"/>
      <c r="C91" s="59"/>
      <c r="D91" s="59"/>
      <c r="E91" s="59"/>
      <c r="F91" s="59"/>
      <c r="G91" s="59"/>
    </row>
    <row r="92" spans="1:62">
      <c r="A92" s="62" t="str">
        <f t="shared" ref="A92:A103" si="197">A19</f>
        <v>Фінансова діяльність</v>
      </c>
      <c r="B92" s="132" t="str">
        <f t="shared" ref="B92:G92" si="198">B86</f>
        <v>Всього</v>
      </c>
      <c r="C92" s="132" t="str">
        <f t="shared" si="198"/>
        <v>1 год</v>
      </c>
      <c r="D92" s="132" t="str">
        <f t="shared" si="198"/>
        <v>2 год</v>
      </c>
      <c r="E92" s="132" t="str">
        <f t="shared" si="198"/>
        <v>3 год</v>
      </c>
      <c r="F92" s="132" t="str">
        <f t="shared" si="198"/>
        <v>4 год</v>
      </c>
      <c r="G92" s="132" t="str">
        <f t="shared" si="198"/>
        <v>5 год</v>
      </c>
    </row>
    <row r="93" spans="1:62">
      <c r="A93" s="69" t="str">
        <f t="shared" si="197"/>
        <v>1. Надходження від фінансової діяльності:</v>
      </c>
      <c r="B93" s="72">
        <f t="shared" ref="B93:B102" si="199">SUM(C93:G93)</f>
        <v>439006.98010000016</v>
      </c>
      <c r="C93" s="70">
        <f t="shared" ref="C93:C102" si="200">SUM(C20:N20)</f>
        <v>439006.98010000016</v>
      </c>
      <c r="D93" s="70">
        <f t="shared" ref="D93:D102" si="201">SUM(O20:Z20)</f>
        <v>0</v>
      </c>
      <c r="E93" s="70">
        <f t="shared" ref="E93:E102" si="202">SUM(AA20:AL20)</f>
        <v>0</v>
      </c>
      <c r="F93" s="70">
        <f t="shared" ref="F93:F102" si="203">SUM(AM20:AX20)</f>
        <v>0</v>
      </c>
      <c r="G93" s="70">
        <f t="shared" ref="G93:G102" si="204">SUM(AY20:BJ20)</f>
        <v>0</v>
      </c>
    </row>
    <row r="94" spans="1:62" s="221" customFormat="1" hidden="1">
      <c r="A94" s="219" t="str">
        <f t="shared" si="197"/>
        <v>Потреба у фіннасуванні</v>
      </c>
      <c r="B94" s="220">
        <f t="shared" si="199"/>
        <v>439006.98010000016</v>
      </c>
      <c r="C94" s="220">
        <f t="shared" si="200"/>
        <v>439006.98010000016</v>
      </c>
      <c r="D94" s="220">
        <f t="shared" si="201"/>
        <v>0</v>
      </c>
      <c r="E94" s="220">
        <f t="shared" si="202"/>
        <v>0</v>
      </c>
      <c r="F94" s="220">
        <f t="shared" si="203"/>
        <v>0</v>
      </c>
      <c r="G94" s="220">
        <f t="shared" si="204"/>
        <v>0</v>
      </c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</row>
    <row r="95" spans="1:62" s="6" customFormat="1" ht="14.25" customHeight="1">
      <c r="A95" s="19" t="str">
        <f t="shared" si="197"/>
        <v>Внесок в капітал компанії</v>
      </c>
      <c r="B95" s="131">
        <f t="shared" si="199"/>
        <v>439006.98010000016</v>
      </c>
      <c r="C95" s="100">
        <f t="shared" si="200"/>
        <v>439006.98010000016</v>
      </c>
      <c r="D95" s="100">
        <f t="shared" si="201"/>
        <v>0</v>
      </c>
      <c r="E95" s="100">
        <f t="shared" si="202"/>
        <v>0</v>
      </c>
      <c r="F95" s="100">
        <f t="shared" si="203"/>
        <v>0</v>
      </c>
      <c r="G95" s="100">
        <f t="shared" si="204"/>
        <v>0</v>
      </c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</row>
    <row r="96" spans="1:62" s="6" customFormat="1" ht="14.25" customHeight="1">
      <c r="A96" s="19" t="str">
        <f t="shared" si="197"/>
        <v xml:space="preserve">Внесок засновника для покриття дод. потреби в оборотному капіталі </v>
      </c>
      <c r="B96" s="131">
        <f t="shared" si="199"/>
        <v>0</v>
      </c>
      <c r="C96" s="100">
        <f t="shared" si="200"/>
        <v>0</v>
      </c>
      <c r="D96" s="100">
        <f t="shared" si="201"/>
        <v>0</v>
      </c>
      <c r="E96" s="100">
        <f t="shared" si="202"/>
        <v>0</v>
      </c>
      <c r="F96" s="100">
        <f t="shared" si="203"/>
        <v>0</v>
      </c>
      <c r="G96" s="100">
        <f t="shared" si="204"/>
        <v>0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</row>
    <row r="97" spans="1:62" s="6" customFormat="1" ht="14.25" customHeight="1">
      <c r="A97" s="19" t="str">
        <f t="shared" si="197"/>
        <v>Кредит</v>
      </c>
      <c r="B97" s="131">
        <f t="shared" si="199"/>
        <v>0</v>
      </c>
      <c r="C97" s="100">
        <f t="shared" si="200"/>
        <v>0</v>
      </c>
      <c r="D97" s="100">
        <f t="shared" si="201"/>
        <v>0</v>
      </c>
      <c r="E97" s="100">
        <f t="shared" si="202"/>
        <v>0</v>
      </c>
      <c r="F97" s="100">
        <f t="shared" si="203"/>
        <v>0</v>
      </c>
      <c r="G97" s="100">
        <f t="shared" si="204"/>
        <v>0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</row>
    <row r="98" spans="1:62" s="6" customFormat="1">
      <c r="A98" s="19" t="str">
        <f t="shared" si="197"/>
        <v>Субсидування % по кредиту</v>
      </c>
      <c r="B98" s="131">
        <f t="shared" si="199"/>
        <v>0</v>
      </c>
      <c r="C98" s="100">
        <f t="shared" si="200"/>
        <v>0</v>
      </c>
      <c r="D98" s="100">
        <f t="shared" si="201"/>
        <v>0</v>
      </c>
      <c r="E98" s="100">
        <f t="shared" si="202"/>
        <v>0</v>
      </c>
      <c r="F98" s="100">
        <f t="shared" si="203"/>
        <v>0</v>
      </c>
      <c r="G98" s="100">
        <f t="shared" si="204"/>
        <v>0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</row>
    <row r="99" spans="1:62">
      <c r="A99" s="69" t="str">
        <f t="shared" si="197"/>
        <v>2. Платежі по фінансовій діяльності:</v>
      </c>
      <c r="B99" s="131">
        <f t="shared" si="199"/>
        <v>1349797.6</v>
      </c>
      <c r="C99" s="70">
        <f t="shared" si="200"/>
        <v>321177</v>
      </c>
      <c r="D99" s="70">
        <f t="shared" si="201"/>
        <v>295568.3</v>
      </c>
      <c r="E99" s="70">
        <f t="shared" si="202"/>
        <v>269959.5</v>
      </c>
      <c r="F99" s="70">
        <f t="shared" si="203"/>
        <v>244350.8</v>
      </c>
      <c r="G99" s="70">
        <f t="shared" si="204"/>
        <v>218742.00000000003</v>
      </c>
    </row>
    <row r="100" spans="1:62">
      <c r="A100" s="19" t="str">
        <f t="shared" si="197"/>
        <v>Тіло кредиту</v>
      </c>
      <c r="B100" s="131">
        <f t="shared" si="199"/>
        <v>1024350</v>
      </c>
      <c r="C100" s="100">
        <f t="shared" si="200"/>
        <v>204870</v>
      </c>
      <c r="D100" s="100">
        <f t="shared" si="201"/>
        <v>204870</v>
      </c>
      <c r="E100" s="100">
        <f t="shared" si="202"/>
        <v>204870</v>
      </c>
      <c r="F100" s="100">
        <f t="shared" si="203"/>
        <v>204870</v>
      </c>
      <c r="G100" s="100">
        <f t="shared" si="204"/>
        <v>204870</v>
      </c>
    </row>
    <row r="101" spans="1:62">
      <c r="A101" s="19" t="str">
        <f t="shared" si="197"/>
        <v>% по кредиту</v>
      </c>
      <c r="B101" s="131">
        <f t="shared" si="199"/>
        <v>325447.60000000003</v>
      </c>
      <c r="C101" s="100">
        <f t="shared" si="200"/>
        <v>116307.00000000001</v>
      </c>
      <c r="D101" s="100">
        <f t="shared" si="201"/>
        <v>90698.300000000017</v>
      </c>
      <c r="E101" s="100">
        <f t="shared" si="202"/>
        <v>65089.499999999993</v>
      </c>
      <c r="F101" s="100">
        <f t="shared" si="203"/>
        <v>39480.800000000003</v>
      </c>
      <c r="G101" s="100">
        <f t="shared" si="204"/>
        <v>13872</v>
      </c>
    </row>
    <row r="102" spans="1:62">
      <c r="A102" s="71" t="str">
        <f t="shared" si="197"/>
        <v>Сальдо финансової діяльності</v>
      </c>
      <c r="B102" s="132">
        <f t="shared" si="199"/>
        <v>-910790.61989999982</v>
      </c>
      <c r="C102" s="72">
        <f t="shared" si="200"/>
        <v>117829.98010000013</v>
      </c>
      <c r="D102" s="72">
        <f t="shared" si="201"/>
        <v>-295568.3</v>
      </c>
      <c r="E102" s="72">
        <f t="shared" si="202"/>
        <v>-269959.5</v>
      </c>
      <c r="F102" s="72">
        <f t="shared" si="203"/>
        <v>-244350.8</v>
      </c>
      <c r="G102" s="72">
        <f t="shared" si="204"/>
        <v>-218742.00000000003</v>
      </c>
    </row>
    <row r="103" spans="1:62">
      <c r="A103" s="71" t="str">
        <f t="shared" si="197"/>
        <v>Сальдо накопиченим ітогом</v>
      </c>
      <c r="B103" s="132">
        <f>G103</f>
        <v>-910790.61989999982</v>
      </c>
      <c r="C103" s="72">
        <f>C102</f>
        <v>117829.98010000013</v>
      </c>
      <c r="D103" s="72">
        <f>C103+D102</f>
        <v>-177738.31989999986</v>
      </c>
      <c r="E103" s="72">
        <f>D103+E102</f>
        <v>-447697.81989999989</v>
      </c>
      <c r="F103" s="72">
        <f>E103+F102</f>
        <v>-692048.61989999982</v>
      </c>
      <c r="G103" s="72">
        <f>F103+G102</f>
        <v>-910790.61989999982</v>
      </c>
    </row>
    <row r="104" spans="1:62">
      <c r="A104" s="15"/>
      <c r="C104" s="59"/>
      <c r="D104" s="59"/>
      <c r="E104" s="59"/>
      <c r="F104" s="59"/>
      <c r="G104" s="59"/>
      <c r="H104" s="59"/>
      <c r="I104" s="59"/>
      <c r="J104" s="59"/>
    </row>
    <row r="105" spans="1:62">
      <c r="A105" s="74" t="str">
        <f>A32</f>
        <v>Залишок ГЗ (грошей) на початок періоду</v>
      </c>
      <c r="B105" s="132" t="str">
        <f>B92</f>
        <v>Всього</v>
      </c>
      <c r="C105" s="132">
        <v>0</v>
      </c>
      <c r="D105" s="132">
        <f>C108</f>
        <v>470221.44487055205</v>
      </c>
      <c r="E105" s="132">
        <f>D108</f>
        <v>575506.98580147699</v>
      </c>
      <c r="F105" s="132">
        <f>E108</f>
        <v>714485.60884341411</v>
      </c>
      <c r="G105" s="132">
        <f>F108</f>
        <v>891025.81503712945</v>
      </c>
    </row>
    <row r="106" spans="1:62">
      <c r="A106" s="19" t="str">
        <f>A33</f>
        <v>Всього надходжень</v>
      </c>
      <c r="B106" s="132">
        <f>SUM(C106:G106)</f>
        <v>55583447.282317616</v>
      </c>
      <c r="C106" s="100">
        <f>SUM(C33:N33)</f>
        <v>11518292.817392837</v>
      </c>
      <c r="D106" s="100">
        <f>SUM(O33:Z33)</f>
        <v>10526228.466017265</v>
      </c>
      <c r="E106" s="100">
        <f>SUM(AA33:AL33)</f>
        <v>10846393.777501376</v>
      </c>
      <c r="F106" s="100">
        <f>SUM(AM33:AX33)</f>
        <v>11176297.223304782</v>
      </c>
      <c r="G106" s="100">
        <f>SUM(AY33:BJ33)</f>
        <v>11516234.998101363</v>
      </c>
    </row>
    <row r="107" spans="1:62">
      <c r="A107" s="19" t="str">
        <f>A34</f>
        <v>Всього витрат</v>
      </c>
      <c r="B107" s="132">
        <f>SUM(C107:G107)</f>
        <v>54480180.203843988</v>
      </c>
      <c r="C107" s="100">
        <f>SUM(C34:N34)</f>
        <v>11048071.372522285</v>
      </c>
      <c r="D107" s="100">
        <f>SUM(O34:Z34)</f>
        <v>10420942.92508634</v>
      </c>
      <c r="E107" s="100">
        <f>SUM(AA34:AL34)</f>
        <v>10707415.154459439</v>
      </c>
      <c r="F107" s="100">
        <f>SUM(AM34:AX34)</f>
        <v>10999757.017111067</v>
      </c>
      <c r="G107" s="100">
        <f>SUM(AY34:BJ34)</f>
        <v>11303993.734664857</v>
      </c>
    </row>
    <row r="108" spans="1:62">
      <c r="A108" s="74" t="str">
        <f>A35</f>
        <v>Залишок ГЗ на кінець періоду</v>
      </c>
      <c r="B108" s="132">
        <f>B106-B107</f>
        <v>1103267.0784736276</v>
      </c>
      <c r="C108" s="72">
        <f>C106-C107+C105</f>
        <v>470221.44487055205</v>
      </c>
      <c r="D108" s="72">
        <f>D106-D107+D105</f>
        <v>575506.98580147699</v>
      </c>
      <c r="E108" s="72">
        <f>E106-E107+E105</f>
        <v>714485.60884341411</v>
      </c>
      <c r="F108" s="72">
        <f>F106-F107+F105</f>
        <v>891025.81503712945</v>
      </c>
      <c r="G108" s="72">
        <f>G106-G107+G105</f>
        <v>1103267.078473635</v>
      </c>
    </row>
    <row r="109" spans="1:62">
      <c r="A109" s="129"/>
      <c r="B109" s="130"/>
      <c r="C109" s="130"/>
      <c r="D109" s="130"/>
      <c r="E109" s="130"/>
      <c r="F109" s="130"/>
      <c r="G109" s="130"/>
    </row>
    <row r="110" spans="1:62">
      <c r="A110" s="73" t="str">
        <f>A37</f>
        <v>Грошовий потік від проєкту</v>
      </c>
      <c r="B110" s="132">
        <f>SUM(C110:G110)</f>
        <v>1103267.078473635</v>
      </c>
      <c r="C110" s="67">
        <f>C106-C107</f>
        <v>470221.44487055205</v>
      </c>
      <c r="D110" s="67">
        <f>D106-D107</f>
        <v>105285.54093092494</v>
      </c>
      <c r="E110" s="67">
        <f>E106-E107</f>
        <v>138978.62304193713</v>
      </c>
      <c r="F110" s="67">
        <f>F106-F107</f>
        <v>176540.20619371533</v>
      </c>
      <c r="G110" s="67">
        <f>G106-G107</f>
        <v>212241.26343650557</v>
      </c>
    </row>
    <row r="111" spans="1:62">
      <c r="A111" s="49" t="str">
        <f>A38</f>
        <v>Грошовий потік накопиченим ітогом</v>
      </c>
      <c r="B111" s="132">
        <f>G111</f>
        <v>1103267.078473635</v>
      </c>
      <c r="C111" s="50">
        <f>C110</f>
        <v>470221.44487055205</v>
      </c>
      <c r="D111" s="50">
        <f>C111+D110</f>
        <v>575506.98580147699</v>
      </c>
      <c r="E111" s="50">
        <f>D111+E110</f>
        <v>714485.60884341411</v>
      </c>
      <c r="F111" s="50">
        <f>E111+F110</f>
        <v>891025.81503712945</v>
      </c>
      <c r="G111" s="50">
        <f>F111+G110</f>
        <v>1103267.078473635</v>
      </c>
    </row>
    <row r="118" spans="3:3">
      <c r="C118" s="181"/>
    </row>
  </sheetData>
  <mergeCells count="5">
    <mergeCell ref="C4:N4"/>
    <mergeCell ref="O4:Z4"/>
    <mergeCell ref="AA4:AL4"/>
    <mergeCell ref="AM4:AX4"/>
    <mergeCell ref="AY4:BJ4"/>
  </mergeCells>
  <phoneticPr fontId="4" type="noConversion"/>
  <conditionalFormatting sqref="B6:BJ11">
    <cfRule type="containsBlanks" dxfId="89" priority="5">
      <formula>LEN(TRIM(B6))=0</formula>
    </cfRule>
  </conditionalFormatting>
  <conditionalFormatting sqref="B14:BJ17">
    <cfRule type="containsBlanks" dxfId="88" priority="4">
      <formula>LEN(TRIM(B14))=0</formula>
    </cfRule>
  </conditionalFormatting>
  <conditionalFormatting sqref="B29:BJ30">
    <cfRule type="containsBlanks" dxfId="87" priority="3">
      <formula>LEN(TRIM(B29))=0</formula>
    </cfRule>
  </conditionalFormatting>
  <conditionalFormatting sqref="B32:BJ35">
    <cfRule type="containsBlanks" dxfId="86" priority="2">
      <formula>LEN(TRIM(B32))=0</formula>
    </cfRule>
  </conditionalFormatting>
  <conditionalFormatting sqref="B37:BJ38">
    <cfRule type="containsBlanks" dxfId="85" priority="1">
      <formula>LEN(TRIM(B37))=0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28"/>
  <sheetViews>
    <sheetView workbookViewId="0">
      <selection activeCell="B14" sqref="B14"/>
    </sheetView>
  </sheetViews>
  <sheetFormatPr baseColWidth="10" defaultColWidth="8.6640625" defaultRowHeight="13"/>
  <cols>
    <col min="1" max="1" width="53.6640625" customWidth="1"/>
    <col min="2" max="2" width="24" bestFit="1" customWidth="1"/>
    <col min="3" max="3" width="12.5" customWidth="1"/>
    <col min="4" max="4" width="13.5" customWidth="1"/>
    <col min="5" max="5" width="14" bestFit="1" customWidth="1"/>
    <col min="6" max="9" width="14.6640625" customWidth="1"/>
    <col min="10" max="11" width="14.33203125" customWidth="1"/>
    <col min="12" max="16" width="14.5" customWidth="1"/>
    <col min="17" max="18" width="14.6640625" customWidth="1"/>
    <col min="19" max="20" width="15.1640625" customWidth="1"/>
    <col min="21" max="22" width="14.6640625" customWidth="1"/>
    <col min="23" max="24" width="14.5" customWidth="1"/>
    <col min="25" max="25" width="15.5" customWidth="1"/>
    <col min="26" max="26" width="14.33203125" customWidth="1"/>
    <col min="27" max="28" width="14.5" customWidth="1"/>
    <col min="29" max="29" width="14.6640625" customWidth="1"/>
    <col min="30" max="30" width="14.1640625" customWidth="1"/>
  </cols>
  <sheetData>
    <row r="1" spans="1:30" ht="23">
      <c r="A1" s="44" t="s">
        <v>173</v>
      </c>
      <c r="B1" s="102" t="s">
        <v>143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26">
      <c r="A4" s="83" t="s">
        <v>15</v>
      </c>
      <c r="B4" s="84" t="s">
        <v>29</v>
      </c>
      <c r="C4" s="85">
        <v>0.01</v>
      </c>
      <c r="D4" s="85">
        <v>0.05</v>
      </c>
      <c r="E4" s="85">
        <v>0.1</v>
      </c>
      <c r="F4" s="85">
        <v>0.15</v>
      </c>
      <c r="G4" s="85">
        <v>0.2</v>
      </c>
      <c r="H4" s="85">
        <v>0.25</v>
      </c>
      <c r="I4" s="85">
        <v>0.3</v>
      </c>
      <c r="J4" s="85">
        <v>0.35</v>
      </c>
      <c r="K4" s="85">
        <v>0.4</v>
      </c>
      <c r="L4" s="85">
        <v>0.45</v>
      </c>
      <c r="M4" s="85">
        <v>0.5</v>
      </c>
      <c r="N4" s="85">
        <v>0.55000000000000004</v>
      </c>
      <c r="O4" s="85">
        <v>0.6</v>
      </c>
      <c r="P4" s="85">
        <v>0.65</v>
      </c>
      <c r="Q4" s="85">
        <v>0.7</v>
      </c>
      <c r="R4" s="85">
        <v>0.75</v>
      </c>
      <c r="S4" s="85">
        <v>0.8</v>
      </c>
      <c r="T4" s="85">
        <v>0.85</v>
      </c>
      <c r="U4" s="85">
        <v>0.9</v>
      </c>
      <c r="V4" s="85">
        <v>0.95</v>
      </c>
      <c r="W4" s="85">
        <v>1</v>
      </c>
      <c r="X4" s="85">
        <v>1.05</v>
      </c>
      <c r="Y4" s="85">
        <v>1.1000000000000001</v>
      </c>
      <c r="Z4" s="85">
        <v>1.1499999999999999</v>
      </c>
      <c r="AA4" s="85">
        <v>1.2</v>
      </c>
      <c r="AB4" s="85">
        <v>1.25</v>
      </c>
      <c r="AC4" s="85">
        <v>1.3</v>
      </c>
      <c r="AD4" s="85">
        <v>1.35</v>
      </c>
    </row>
    <row r="5" spans="1:30">
      <c r="A5" s="19" t="s">
        <v>163</v>
      </c>
      <c r="B5" s="104">
        <f>ОФР!B5</f>
        <v>54280668.302217595</v>
      </c>
      <c r="C5" s="100">
        <f>$B$5*C4</f>
        <v>542806.68302217592</v>
      </c>
      <c r="D5" s="100">
        <f>$B$5*D4</f>
        <v>2714033.41511088</v>
      </c>
      <c r="E5" s="100">
        <f t="shared" ref="E5:U5" si="0">$B$5*E4</f>
        <v>5428066.8302217601</v>
      </c>
      <c r="F5" s="100">
        <f t="shared" si="0"/>
        <v>8142100.2453326387</v>
      </c>
      <c r="G5" s="100">
        <f t="shared" si="0"/>
        <v>10856133.66044352</v>
      </c>
      <c r="H5" s="100">
        <f t="shared" si="0"/>
        <v>13570167.075554399</v>
      </c>
      <c r="I5" s="100">
        <f t="shared" si="0"/>
        <v>16284200.490665277</v>
      </c>
      <c r="J5" s="100">
        <f t="shared" si="0"/>
        <v>18998233.905776158</v>
      </c>
      <c r="K5" s="100">
        <f t="shared" si="0"/>
        <v>21712267.32088704</v>
      </c>
      <c r="L5" s="100">
        <f t="shared" si="0"/>
        <v>24426300.735997919</v>
      </c>
      <c r="M5" s="100">
        <f t="shared" si="0"/>
        <v>27140334.151108798</v>
      </c>
      <c r="N5" s="100">
        <f t="shared" si="0"/>
        <v>29854367.56621968</v>
      </c>
      <c r="O5" s="100">
        <f t="shared" si="0"/>
        <v>32568400.981330555</v>
      </c>
      <c r="P5" s="100">
        <f t="shared" si="0"/>
        <v>35282434.396441437</v>
      </c>
      <c r="Q5" s="100">
        <f t="shared" si="0"/>
        <v>37996467.811552316</v>
      </c>
      <c r="R5" s="100">
        <f t="shared" si="0"/>
        <v>40710501.226663195</v>
      </c>
      <c r="S5" s="100">
        <f t="shared" si="0"/>
        <v>43424534.641774081</v>
      </c>
      <c r="T5" s="100">
        <f t="shared" si="0"/>
        <v>46138568.056884952</v>
      </c>
      <c r="U5" s="100">
        <f t="shared" si="0"/>
        <v>48852601.471995838</v>
      </c>
      <c r="V5" s="100">
        <f t="shared" ref="V5:AA5" si="1">$B$5*V4</f>
        <v>51566634.887106717</v>
      </c>
      <c r="W5" s="100">
        <f t="shared" si="1"/>
        <v>54280668.302217595</v>
      </c>
      <c r="X5" s="100">
        <f t="shared" si="1"/>
        <v>56994701.717328474</v>
      </c>
      <c r="Y5" s="100">
        <f t="shared" si="1"/>
        <v>59708735.13243936</v>
      </c>
      <c r="Z5" s="100">
        <f t="shared" si="1"/>
        <v>62422768.547550231</v>
      </c>
      <c r="AA5" s="100">
        <f t="shared" si="1"/>
        <v>65136801.96266111</v>
      </c>
      <c r="AB5" s="100">
        <f>$B$5*AB4</f>
        <v>67850835.377771989</v>
      </c>
      <c r="AC5" s="100">
        <f>$B$5*AC4</f>
        <v>70564868.792882875</v>
      </c>
      <c r="AD5" s="100">
        <f>$B$5*AD4</f>
        <v>73278902.207993761</v>
      </c>
    </row>
    <row r="6" spans="1:30">
      <c r="A6" s="19" t="s">
        <v>164</v>
      </c>
      <c r="B6" s="104">
        <f>SUM(B7:B8)</f>
        <v>52309412.270510644</v>
      </c>
      <c r="C6" s="100">
        <f t="shared" ref="C6:U6" si="2">C7+C8</f>
        <v>18161382.810636405</v>
      </c>
      <c r="D6" s="100">
        <f t="shared" si="2"/>
        <v>19541101.172651526</v>
      </c>
      <c r="E6" s="100">
        <f t="shared" si="2"/>
        <v>21265749.125170425</v>
      </c>
      <c r="F6" s="100">
        <f t="shared" si="2"/>
        <v>22990397.077689327</v>
      </c>
      <c r="G6" s="100">
        <f t="shared" si="2"/>
        <v>24715045.03020823</v>
      </c>
      <c r="H6" s="100">
        <f t="shared" si="2"/>
        <v>26439692.982727129</v>
      </c>
      <c r="I6" s="100">
        <f t="shared" si="2"/>
        <v>28164340.935246028</v>
      </c>
      <c r="J6" s="100">
        <f t="shared" si="2"/>
        <v>29888988.887764931</v>
      </c>
      <c r="K6" s="100">
        <f t="shared" si="2"/>
        <v>31613636.840283833</v>
      </c>
      <c r="L6" s="100">
        <f t="shared" si="2"/>
        <v>33338284.792802736</v>
      </c>
      <c r="M6" s="100">
        <f t="shared" si="2"/>
        <v>35062932.745321631</v>
      </c>
      <c r="N6" s="100">
        <f t="shared" si="2"/>
        <v>36787580.697840542</v>
      </c>
      <c r="O6" s="100">
        <f t="shared" si="2"/>
        <v>38512228.650359437</v>
      </c>
      <c r="P6" s="100">
        <f t="shared" si="2"/>
        <v>40236876.60287834</v>
      </c>
      <c r="Q6" s="100">
        <f t="shared" si="2"/>
        <v>41961524.555397242</v>
      </c>
      <c r="R6" s="100">
        <f t="shared" si="2"/>
        <v>43686172.507916138</v>
      </c>
      <c r="S6" s="100">
        <f t="shared" si="2"/>
        <v>45410820.460435048</v>
      </c>
      <c r="T6" s="100">
        <f t="shared" si="2"/>
        <v>47135468.412953943</v>
      </c>
      <c r="U6" s="100">
        <f t="shared" si="2"/>
        <v>48860116.365472846</v>
      </c>
      <c r="V6" s="100">
        <f t="shared" ref="V6:AA6" si="3">V7+V8</f>
        <v>50584764.317991748</v>
      </c>
      <c r="W6" s="100">
        <f t="shared" si="3"/>
        <v>52309412.270510644</v>
      </c>
      <c r="X6" s="100">
        <f t="shared" si="3"/>
        <v>54034060.223029554</v>
      </c>
      <c r="Y6" s="100">
        <f t="shared" si="3"/>
        <v>55758708.175548449</v>
      </c>
      <c r="Z6" s="100">
        <f t="shared" si="3"/>
        <v>57483356.128067344</v>
      </c>
      <c r="AA6" s="100">
        <f t="shared" si="3"/>
        <v>59208004.080586255</v>
      </c>
      <c r="AB6" s="100">
        <f>AB7+AB8</f>
        <v>60932652.03310515</v>
      </c>
      <c r="AC6" s="100">
        <f>AC7+AC8</f>
        <v>62657299.98562406</v>
      </c>
      <c r="AD6" s="100">
        <f>AD7+AD8</f>
        <v>64381947.938142955</v>
      </c>
    </row>
    <row r="7" spans="1:30">
      <c r="A7" s="105" t="s">
        <v>159</v>
      </c>
      <c r="B7" s="104">
        <f>Витрати!B9+'Розрахунок податків'!B6+'Розрахунок податків'!B5</f>
        <v>17816453.220132623</v>
      </c>
      <c r="C7" s="100">
        <f>B7</f>
        <v>17816453.220132623</v>
      </c>
      <c r="D7" s="100">
        <f t="shared" ref="D7:U7" si="4">C7</f>
        <v>17816453.220132623</v>
      </c>
      <c r="E7" s="100">
        <f t="shared" si="4"/>
        <v>17816453.220132623</v>
      </c>
      <c r="F7" s="100">
        <f t="shared" si="4"/>
        <v>17816453.220132623</v>
      </c>
      <c r="G7" s="100">
        <f t="shared" si="4"/>
        <v>17816453.220132623</v>
      </c>
      <c r="H7" s="100">
        <f t="shared" si="4"/>
        <v>17816453.220132623</v>
      </c>
      <c r="I7" s="100">
        <f t="shared" si="4"/>
        <v>17816453.220132623</v>
      </c>
      <c r="J7" s="100">
        <f t="shared" si="4"/>
        <v>17816453.220132623</v>
      </c>
      <c r="K7" s="100">
        <f t="shared" si="4"/>
        <v>17816453.220132623</v>
      </c>
      <c r="L7" s="100">
        <f t="shared" si="4"/>
        <v>17816453.220132623</v>
      </c>
      <c r="M7" s="100">
        <f t="shared" si="4"/>
        <v>17816453.220132623</v>
      </c>
      <c r="N7" s="100">
        <f t="shared" si="4"/>
        <v>17816453.220132623</v>
      </c>
      <c r="O7" s="100">
        <f t="shared" si="4"/>
        <v>17816453.220132623</v>
      </c>
      <c r="P7" s="100">
        <f t="shared" si="4"/>
        <v>17816453.220132623</v>
      </c>
      <c r="Q7" s="100">
        <f t="shared" si="4"/>
        <v>17816453.220132623</v>
      </c>
      <c r="R7" s="100">
        <f t="shared" si="4"/>
        <v>17816453.220132623</v>
      </c>
      <c r="S7" s="100">
        <f t="shared" si="4"/>
        <v>17816453.220132623</v>
      </c>
      <c r="T7" s="100">
        <f t="shared" si="4"/>
        <v>17816453.220132623</v>
      </c>
      <c r="U7" s="100">
        <f t="shared" si="4"/>
        <v>17816453.220132623</v>
      </c>
      <c r="V7" s="100">
        <f t="shared" ref="V7:AD7" si="5">U7</f>
        <v>17816453.220132623</v>
      </c>
      <c r="W7" s="100">
        <f t="shared" si="5"/>
        <v>17816453.220132623</v>
      </c>
      <c r="X7" s="100">
        <f t="shared" si="5"/>
        <v>17816453.220132623</v>
      </c>
      <c r="Y7" s="100">
        <f t="shared" si="5"/>
        <v>17816453.220132623</v>
      </c>
      <c r="Z7" s="100">
        <f t="shared" si="5"/>
        <v>17816453.220132623</v>
      </c>
      <c r="AA7" s="100">
        <f t="shared" si="5"/>
        <v>17816453.220132623</v>
      </c>
      <c r="AB7" s="100">
        <f t="shared" si="5"/>
        <v>17816453.220132623</v>
      </c>
      <c r="AC7" s="100">
        <f t="shared" si="5"/>
        <v>17816453.220132623</v>
      </c>
      <c r="AD7" s="100">
        <f t="shared" si="5"/>
        <v>17816453.220132623</v>
      </c>
    </row>
    <row r="8" spans="1:30">
      <c r="A8" s="105" t="s">
        <v>174</v>
      </c>
      <c r="B8" s="104">
        <f>Витрати!B4</f>
        <v>34492959.050378025</v>
      </c>
      <c r="C8" s="100">
        <f>$B8*C$4</f>
        <v>344929.59050378023</v>
      </c>
      <c r="D8" s="100">
        <f t="shared" ref="D8:R8" si="6">$B8*D$4</f>
        <v>1724647.9525189013</v>
      </c>
      <c r="E8" s="100">
        <f t="shared" si="6"/>
        <v>3449295.9050378026</v>
      </c>
      <c r="F8" s="100">
        <f t="shared" si="6"/>
        <v>5173943.8575567035</v>
      </c>
      <c r="G8" s="100">
        <f t="shared" si="6"/>
        <v>6898591.8100756053</v>
      </c>
      <c r="H8" s="100">
        <f t="shared" si="6"/>
        <v>8623239.7625945061</v>
      </c>
      <c r="I8" s="100">
        <f t="shared" si="6"/>
        <v>10347887.715113407</v>
      </c>
      <c r="J8" s="100">
        <f t="shared" si="6"/>
        <v>12072535.667632308</v>
      </c>
      <c r="K8" s="100">
        <f t="shared" si="6"/>
        <v>13797183.620151211</v>
      </c>
      <c r="L8" s="100">
        <f t="shared" si="6"/>
        <v>15521831.572670111</v>
      </c>
      <c r="M8" s="100">
        <f t="shared" si="6"/>
        <v>17246479.525189012</v>
      </c>
      <c r="N8" s="100">
        <f t="shared" si="6"/>
        <v>18971127.477707915</v>
      </c>
      <c r="O8" s="100">
        <f t="shared" si="6"/>
        <v>20695775.430226814</v>
      </c>
      <c r="P8" s="100">
        <f t="shared" si="6"/>
        <v>22420423.382745717</v>
      </c>
      <c r="Q8" s="100">
        <f t="shared" si="6"/>
        <v>24145071.335264616</v>
      </c>
      <c r="R8" s="100">
        <f t="shared" si="6"/>
        <v>25869719.287783518</v>
      </c>
      <c r="S8" s="100">
        <f t="shared" ref="S8:AD8" si="7">$B8*S$4</f>
        <v>27594367.240302421</v>
      </c>
      <c r="T8" s="100">
        <f t="shared" si="7"/>
        <v>29319015.19282132</v>
      </c>
      <c r="U8" s="100">
        <f t="shared" si="7"/>
        <v>31043663.145340223</v>
      </c>
      <c r="V8" s="100">
        <f t="shared" si="7"/>
        <v>32768311.097859122</v>
      </c>
      <c r="W8" s="100">
        <f t="shared" si="7"/>
        <v>34492959.050378025</v>
      </c>
      <c r="X8" s="100">
        <f t="shared" si="7"/>
        <v>36217607.002896927</v>
      </c>
      <c r="Y8" s="100">
        <f t="shared" si="7"/>
        <v>37942254.95541583</v>
      </c>
      <c r="Z8" s="100">
        <f t="shared" si="7"/>
        <v>39666902.907934725</v>
      </c>
      <c r="AA8" s="100">
        <f t="shared" si="7"/>
        <v>41391550.860453628</v>
      </c>
      <c r="AB8" s="100">
        <f t="shared" si="7"/>
        <v>43116198.812972531</v>
      </c>
      <c r="AC8" s="100">
        <f t="shared" si="7"/>
        <v>44840846.765491433</v>
      </c>
      <c r="AD8" s="100">
        <f t="shared" si="7"/>
        <v>46565494.718010336</v>
      </c>
    </row>
    <row r="9" spans="1:30">
      <c r="A9" s="86" t="s">
        <v>175</v>
      </c>
      <c r="B9" s="116">
        <f t="shared" ref="B9:U9" si="8">B5-B6</f>
        <v>1971256.0317069516</v>
      </c>
      <c r="C9" s="57">
        <f t="shared" si="8"/>
        <v>-17618576.12761423</v>
      </c>
      <c r="D9" s="57">
        <f t="shared" si="8"/>
        <v>-16827067.757540647</v>
      </c>
      <c r="E9" s="57">
        <f t="shared" si="8"/>
        <v>-15837682.294948664</v>
      </c>
      <c r="F9" s="57">
        <f t="shared" si="8"/>
        <v>-14848296.832356688</v>
      </c>
      <c r="G9" s="57">
        <f t="shared" si="8"/>
        <v>-13858911.36976471</v>
      </c>
      <c r="H9" s="57">
        <f t="shared" si="8"/>
        <v>-12869525.90717273</v>
      </c>
      <c r="I9" s="57">
        <f t="shared" si="8"/>
        <v>-11880140.444580751</v>
      </c>
      <c r="J9" s="57">
        <f t="shared" si="8"/>
        <v>-10890754.981988773</v>
      </c>
      <c r="K9" s="57">
        <f t="shared" si="8"/>
        <v>-9901369.5193967931</v>
      </c>
      <c r="L9" s="57">
        <f t="shared" si="8"/>
        <v>-8911984.0568048172</v>
      </c>
      <c r="M9" s="57">
        <f t="shared" si="8"/>
        <v>-7922598.5942128338</v>
      </c>
      <c r="N9" s="57">
        <f t="shared" si="8"/>
        <v>-6933213.1316208616</v>
      </c>
      <c r="O9" s="57">
        <f t="shared" si="8"/>
        <v>-5943827.6690288819</v>
      </c>
      <c r="P9" s="57">
        <f t="shared" si="8"/>
        <v>-4954442.2064369023</v>
      </c>
      <c r="Q9" s="57">
        <f t="shared" si="8"/>
        <v>-3965056.7438449264</v>
      </c>
      <c r="R9" s="57">
        <f t="shared" si="8"/>
        <v>-2975671.281252943</v>
      </c>
      <c r="S9" s="57">
        <f t="shared" si="8"/>
        <v>-1986285.8186609671</v>
      </c>
      <c r="T9" s="57">
        <f t="shared" si="8"/>
        <v>-996900.35606899112</v>
      </c>
      <c r="U9" s="57">
        <f t="shared" si="8"/>
        <v>-7514.8934770077467</v>
      </c>
      <c r="V9" s="57">
        <f t="shared" ref="V9:AA9" si="9">V5-V6</f>
        <v>981870.56911496818</v>
      </c>
      <c r="W9" s="57">
        <f t="shared" si="9"/>
        <v>1971256.0317069516</v>
      </c>
      <c r="X9" s="57">
        <f t="shared" si="9"/>
        <v>2960641.49429892</v>
      </c>
      <c r="Y9" s="57">
        <f t="shared" si="9"/>
        <v>3950026.9568909109</v>
      </c>
      <c r="Z9" s="57">
        <f t="shared" si="9"/>
        <v>4939412.4194828868</v>
      </c>
      <c r="AA9" s="57">
        <f t="shared" si="9"/>
        <v>5928797.8820748553</v>
      </c>
      <c r="AB9" s="57">
        <f>AB5-AB6</f>
        <v>6918183.3446668386</v>
      </c>
      <c r="AC9" s="57">
        <f>AC5-AC6</f>
        <v>7907568.8072588146</v>
      </c>
      <c r="AD9" s="57">
        <f>AD5-AD6</f>
        <v>8896954.2698508054</v>
      </c>
    </row>
    <row r="10" spans="1:3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>
      <c r="A11" s="83" t="s">
        <v>176</v>
      </c>
      <c r="B11" s="83"/>
      <c r="C11" s="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5"/>
      <c r="S11" s="5"/>
      <c r="T11" s="5"/>
      <c r="U11" s="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>
      <c r="A12" s="76" t="s">
        <v>177</v>
      </c>
      <c r="B12" s="117">
        <f>B7/(B5-B8)</f>
        <v>0.90037977581848239</v>
      </c>
      <c r="C12" s="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5"/>
      <c r="S12" s="5"/>
      <c r="T12" s="5"/>
      <c r="U12" s="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>
      <c r="A13" s="76" t="s">
        <v>178</v>
      </c>
      <c r="B13" s="100">
        <f>B12*B5</f>
        <v>48873215.957228079</v>
      </c>
      <c r="C13" s="5"/>
      <c r="D13" s="77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>
      <c r="A14" s="76" t="s">
        <v>222</v>
      </c>
      <c r="B14" s="100">
        <f>B13/12/5</f>
        <v>814553.59928713471</v>
      </c>
      <c r="C14" s="5"/>
      <c r="D14" s="7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>
      <c r="A15" s="78" t="s">
        <v>221</v>
      </c>
      <c r="B15" s="118">
        <f>(D9-C9)/(D5-C5)</f>
        <v>0.36454431882945626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>
      <c r="A17" s="79"/>
      <c r="B17" s="80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>
      <c r="A18" s="79"/>
      <c r="B18" s="80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>
      <c r="A19" s="79"/>
      <c r="B19" s="80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>
      <c r="A20" s="15"/>
      <c r="B20" s="15"/>
      <c r="C20" s="81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>
      <c r="A22" s="15"/>
      <c r="B22" s="1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>
      <c r="A23" s="15"/>
      <c r="B23" s="1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>
      <c r="A24" s="15"/>
      <c r="B24" s="1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>
      <c r="A25" s="15"/>
      <c r="B25" s="1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>
      <c r="A26" s="15"/>
      <c r="B26" s="1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>
      <c r="A27" s="15"/>
      <c r="B27" s="15"/>
      <c r="C27" s="15"/>
      <c r="D27" s="82"/>
      <c r="E27" s="82"/>
      <c r="F27" s="82"/>
      <c r="G27" s="8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</sheetData>
  <phoneticPr fontId="4" type="noConversion"/>
  <conditionalFormatting sqref="A9:B9">
    <cfRule type="cellIs" dxfId="84" priority="5" stopIfTrue="1" operator="lessThanOrEqual">
      <formula>0</formula>
    </cfRule>
  </conditionalFormatting>
  <conditionalFormatting sqref="M16">
    <cfRule type="cellIs" dxfId="83" priority="4" stopIfTrue="1" operator="greaterThan">
      <formula>0</formula>
    </cfRule>
  </conditionalFormatting>
  <conditionalFormatting sqref="C9:AD9">
    <cfRule type="cellIs" dxfId="82" priority="2" stopIfTrue="1" operator="lessThan">
      <formula>0</formula>
    </cfRule>
    <cfRule type="cellIs" dxfId="81" priority="3" stopIfTrue="1" operator="lessThanOrEqual">
      <formula>0</formula>
    </cfRule>
  </conditionalFormatting>
  <conditionalFormatting sqref="C5:AD8">
    <cfRule type="containsBlanks" dxfId="80" priority="1">
      <formula>LEN(TRIM(C5))=0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J20"/>
  <sheetViews>
    <sheetView workbookViewId="0">
      <selection activeCell="AL5" sqref="AL5:BJ20"/>
    </sheetView>
  </sheetViews>
  <sheetFormatPr baseColWidth="10" defaultColWidth="8.6640625" defaultRowHeight="13"/>
  <cols>
    <col min="1" max="1" width="52.6640625" bestFit="1" customWidth="1"/>
    <col min="2" max="2" width="22.1640625" bestFit="1" customWidth="1"/>
    <col min="3" max="4" width="10" bestFit="1" customWidth="1"/>
    <col min="5" max="5" width="11" bestFit="1" customWidth="1"/>
    <col min="6" max="13" width="10" bestFit="1" customWidth="1"/>
    <col min="14" max="32" width="12.6640625" bestFit="1" customWidth="1"/>
    <col min="33" max="62" width="14" bestFit="1" customWidth="1"/>
  </cols>
  <sheetData>
    <row r="1" spans="1:62" ht="23">
      <c r="A1" s="44" t="s">
        <v>16</v>
      </c>
      <c r="B1" s="102" t="s">
        <v>143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6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6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62" ht="8.25" customHeight="1">
      <c r="A4" s="18"/>
      <c r="B4" s="18"/>
      <c r="C4" s="430" t="s">
        <v>30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1" t="s">
        <v>31</v>
      </c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2" t="s">
        <v>32</v>
      </c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28"/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9"/>
      <c r="AZ4" s="429"/>
      <c r="BA4" s="429"/>
      <c r="BB4" s="429"/>
      <c r="BC4" s="429"/>
      <c r="BD4" s="429"/>
      <c r="BE4" s="429"/>
      <c r="BF4" s="429"/>
      <c r="BG4" s="429"/>
      <c r="BH4" s="429"/>
      <c r="BI4" s="429"/>
      <c r="BJ4" s="429"/>
    </row>
    <row r="5" spans="1:62" ht="26">
      <c r="A5" s="87" t="s">
        <v>17</v>
      </c>
      <c r="B5" s="88" t="s">
        <v>219</v>
      </c>
      <c r="C5" s="89">
        <f>ОФР!C4</f>
        <v>44562</v>
      </c>
      <c r="D5" s="89">
        <f>ОФР!D4</f>
        <v>44593</v>
      </c>
      <c r="E5" s="89">
        <f>ОФР!E4</f>
        <v>44621</v>
      </c>
      <c r="F5" s="89">
        <f>ОФР!F4</f>
        <v>44652</v>
      </c>
      <c r="G5" s="89">
        <f>ОФР!G4</f>
        <v>44682</v>
      </c>
      <c r="H5" s="89">
        <f>ОФР!H4</f>
        <v>44713</v>
      </c>
      <c r="I5" s="89">
        <f>ОФР!I4</f>
        <v>44743</v>
      </c>
      <c r="J5" s="89">
        <f>ОФР!J4</f>
        <v>44774</v>
      </c>
      <c r="K5" s="89">
        <f>ОФР!K4</f>
        <v>44805</v>
      </c>
      <c r="L5" s="89">
        <f>ОФР!L4</f>
        <v>44835</v>
      </c>
      <c r="M5" s="89">
        <f>ОФР!M4</f>
        <v>44866</v>
      </c>
      <c r="N5" s="89">
        <f>ОФР!N4</f>
        <v>44896</v>
      </c>
      <c r="O5" s="89">
        <f>ОФР!O4</f>
        <v>44927</v>
      </c>
      <c r="P5" s="89">
        <f>ОФР!P4</f>
        <v>44958</v>
      </c>
      <c r="Q5" s="89">
        <f>ОФР!Q4</f>
        <v>44986</v>
      </c>
      <c r="R5" s="89">
        <f>ОФР!R4</f>
        <v>45017</v>
      </c>
      <c r="S5" s="89">
        <f>ОФР!S4</f>
        <v>45047</v>
      </c>
      <c r="T5" s="89">
        <f>ОФР!T4</f>
        <v>45078</v>
      </c>
      <c r="U5" s="89">
        <f>ОФР!U4</f>
        <v>45108</v>
      </c>
      <c r="V5" s="89">
        <f>ОФР!V4</f>
        <v>45139</v>
      </c>
      <c r="W5" s="89">
        <f>ОФР!W4</f>
        <v>45170</v>
      </c>
      <c r="X5" s="89">
        <f>ОФР!X4</f>
        <v>45200</v>
      </c>
      <c r="Y5" s="89">
        <f>ОФР!Y4</f>
        <v>45231</v>
      </c>
      <c r="Z5" s="89">
        <f>ОФР!Z4</f>
        <v>45261</v>
      </c>
      <c r="AA5" s="89">
        <f>ОФР!AA4</f>
        <v>45292</v>
      </c>
      <c r="AB5" s="89">
        <f>ОФР!AB4</f>
        <v>45323</v>
      </c>
      <c r="AC5" s="89">
        <f>ОФР!AC4</f>
        <v>45352</v>
      </c>
      <c r="AD5" s="89">
        <f>ОФР!AD4</f>
        <v>45383</v>
      </c>
      <c r="AE5" s="89">
        <f>ОФР!AE4</f>
        <v>45413</v>
      </c>
      <c r="AF5" s="89">
        <f>ОФР!AF4</f>
        <v>45444</v>
      </c>
      <c r="AG5" s="89">
        <f>ОФР!AG4</f>
        <v>45474</v>
      </c>
      <c r="AH5" s="89">
        <f>ОФР!AH4</f>
        <v>45505</v>
      </c>
      <c r="AI5" s="89">
        <f>ОФР!AI4</f>
        <v>45536</v>
      </c>
      <c r="AJ5" s="89">
        <f>ОФР!AJ4</f>
        <v>45566</v>
      </c>
      <c r="AK5" s="89">
        <f>ОФР!AK4</f>
        <v>45597</v>
      </c>
      <c r="AL5" s="89">
        <f>ОФР!AL4</f>
        <v>45627</v>
      </c>
      <c r="AM5" s="89">
        <f>ОФР!AM4</f>
        <v>45658</v>
      </c>
      <c r="AN5" s="89">
        <f>ОФР!AN4</f>
        <v>45689</v>
      </c>
      <c r="AO5" s="89">
        <f>ОФР!AO4</f>
        <v>45717</v>
      </c>
      <c r="AP5" s="89">
        <f>ОФР!AP4</f>
        <v>45748</v>
      </c>
      <c r="AQ5" s="89">
        <f>ОФР!AQ4</f>
        <v>45778</v>
      </c>
      <c r="AR5" s="89">
        <f>ОФР!AR4</f>
        <v>45809</v>
      </c>
      <c r="AS5" s="89">
        <f>ОФР!AS4</f>
        <v>45839</v>
      </c>
      <c r="AT5" s="89">
        <f>ОФР!AT4</f>
        <v>45870</v>
      </c>
      <c r="AU5" s="89">
        <f>ОФР!AU4</f>
        <v>45901</v>
      </c>
      <c r="AV5" s="89">
        <f>ОФР!AV4</f>
        <v>45931</v>
      </c>
      <c r="AW5" s="89">
        <f>ОФР!AW4</f>
        <v>45962</v>
      </c>
      <c r="AX5" s="89">
        <f>ОФР!AX4</f>
        <v>45992</v>
      </c>
      <c r="AY5" s="89">
        <f>ОФР!AY4</f>
        <v>46023</v>
      </c>
      <c r="AZ5" s="89">
        <f>ОФР!AZ4</f>
        <v>46054</v>
      </c>
      <c r="BA5" s="89">
        <f>ОФР!BA4</f>
        <v>46082</v>
      </c>
      <c r="BB5" s="89">
        <f>ОФР!BB4</f>
        <v>46113</v>
      </c>
      <c r="BC5" s="89">
        <f>ОФР!BC4</f>
        <v>46143</v>
      </c>
      <c r="BD5" s="89">
        <f>ОФР!BD4</f>
        <v>46174</v>
      </c>
      <c r="BE5" s="89">
        <f>ОФР!BE4</f>
        <v>46204</v>
      </c>
      <c r="BF5" s="89">
        <f>ОФР!BF4</f>
        <v>46235</v>
      </c>
      <c r="BG5" s="89">
        <f>ОФР!BG4</f>
        <v>46266</v>
      </c>
      <c r="BH5" s="89">
        <f>ОФР!BH4</f>
        <v>46296</v>
      </c>
      <c r="BI5" s="89">
        <f>ОФР!BI4</f>
        <v>46327</v>
      </c>
      <c r="BJ5" s="89">
        <f>ОФР!BJ4</f>
        <v>46357</v>
      </c>
    </row>
    <row r="6" spans="1:62">
      <c r="A6" s="19" t="s">
        <v>181</v>
      </c>
      <c r="B6" s="113">
        <f>AVERAGE(C6:BJ6)</f>
        <v>2.1417589903293725E-2</v>
      </c>
      <c r="C6" s="277">
        <f>IF(ОФР!C15&gt;0,ОФР!C15/ОФР!C5,0)</f>
        <v>0.14505628654527575</v>
      </c>
      <c r="D6" s="277">
        <f>IF(ОФР!D15&gt;0,ОФР!D15/ОФР!D5,0)</f>
        <v>8.8224229003398186E-2</v>
      </c>
      <c r="E6" s="277">
        <f>IF(ОФР!E15&gt;0,ОФР!E15/ОФР!E5,0)</f>
        <v>0</v>
      </c>
      <c r="F6" s="277">
        <f>IF(ОФР!F15&gt;0,ОФР!F15/ОФР!F5,0)</f>
        <v>0</v>
      </c>
      <c r="G6" s="277">
        <f>IF(ОФР!G15&gt;0,ОФР!G15/ОФР!G5,0)</f>
        <v>0</v>
      </c>
      <c r="H6" s="277">
        <f>IF(ОФР!H15&gt;0,ОФР!H15/ОФР!H5,0)</f>
        <v>0</v>
      </c>
      <c r="I6" s="277">
        <f>IF(ОФР!I15&gt;0,ОФР!I15/ОФР!I5,0)</f>
        <v>0</v>
      </c>
      <c r="J6" s="277">
        <f>IF(ОФР!J15&gt;0,ОФР!J15/ОФР!J5,0)</f>
        <v>0</v>
      </c>
      <c r="K6" s="277">
        <f>IF(ОФР!K15&gt;0,ОФР!K15/ОФР!K5,0)</f>
        <v>0</v>
      </c>
      <c r="L6" s="277">
        <f>IF(ОФР!L15&gt;0,ОФР!L15/ОФР!L5,0)</f>
        <v>0</v>
      </c>
      <c r="M6" s="277">
        <f>IF(ОФР!M15&gt;0,ОФР!M15/ОФР!M5,0)</f>
        <v>0</v>
      </c>
      <c r="N6" s="277">
        <f>IF(ОФР!N15&gt;0,ОФР!N15/ОФР!N5,0)</f>
        <v>0</v>
      </c>
      <c r="O6" s="277">
        <f>IF(ОФР!O15&gt;0,ОФР!O15/ОФР!O5,0)</f>
        <v>0.1458382778516632</v>
      </c>
      <c r="P6" s="277">
        <f>IF(ОФР!P15&gt;0,ОФР!P15/ОФР!P5,0)</f>
        <v>9.4834381674451171E-2</v>
      </c>
      <c r="Q6" s="277">
        <f>IF(ОФР!Q15&gt;0,ОФР!Q15/ОФР!Q5,0)</f>
        <v>0</v>
      </c>
      <c r="R6" s="277">
        <f>IF(ОФР!R15&gt;0,ОФР!R15/ОФР!R5,0)</f>
        <v>0</v>
      </c>
      <c r="S6" s="277">
        <f>IF(ОФР!S15&gt;0,ОФР!S15/ОФР!S5,0)</f>
        <v>0</v>
      </c>
      <c r="T6" s="277">
        <f>IF(ОФР!T15&gt;0,ОФР!T15/ОФР!T5,0)</f>
        <v>0</v>
      </c>
      <c r="U6" s="277">
        <f>IF(ОФР!U15&gt;0,ОФР!U15/ОФР!U5,0)</f>
        <v>0</v>
      </c>
      <c r="V6" s="277">
        <f>IF(ОФР!V15&gt;0,ОФР!V15/ОФР!V5,0)</f>
        <v>0</v>
      </c>
      <c r="W6" s="277">
        <f>IF(ОФР!W15&gt;0,ОФР!W15/ОФР!W5,0)</f>
        <v>0</v>
      </c>
      <c r="X6" s="277">
        <f>IF(ОФР!X15&gt;0,ОФР!X15/ОФР!X5,0)</f>
        <v>0</v>
      </c>
      <c r="Y6" s="277">
        <f>IF(ОФР!Y15&gt;0,ОФР!Y15/ОФР!Y5,0)</f>
        <v>3.4748019884566135E-4</v>
      </c>
      <c r="Z6" s="277">
        <f>IF(ОФР!Z15&gt;0,ОФР!Z15/ОФР!Z5,0)</f>
        <v>1.2753563311671014E-3</v>
      </c>
      <c r="AA6" s="277">
        <f>IF(ОФР!AA15&gt;0,ОФР!AA15/ОФР!AA5,0)</f>
        <v>0.14709837391911759</v>
      </c>
      <c r="AB6" s="277">
        <f>IF(ОФР!AB15&gt;0,ОФР!AB15/ОФР!AB5,0)</f>
        <v>9.6506714147443468E-2</v>
      </c>
      <c r="AC6" s="277">
        <f>IF(ОФР!AC15&gt;0,ОФР!AC15/ОФР!AC5,0)</f>
        <v>0</v>
      </c>
      <c r="AD6" s="277">
        <f>IF(ОФР!AD15&gt;0,ОФР!AD15/ОФР!AD5,0)</f>
        <v>0</v>
      </c>
      <c r="AE6" s="277">
        <f>IF(ОФР!AE15&gt;0,ОФР!AE15/ОФР!AE5,0)</f>
        <v>0</v>
      </c>
      <c r="AF6" s="277">
        <f>IF(ОФР!AF15&gt;0,ОФР!AF15/ОФР!AF5,0)</f>
        <v>0</v>
      </c>
      <c r="AG6" s="277">
        <f>IF(ОФР!AG15&gt;0,ОФР!AG15/ОФР!AG5,0)</f>
        <v>0</v>
      </c>
      <c r="AH6" s="277">
        <f>IF(ОФР!AH15&gt;0,ОФР!AH15/ОФР!AH5,0)</f>
        <v>0</v>
      </c>
      <c r="AI6" s="277">
        <f>IF(ОФР!AI15&gt;0,ОФР!AI15/ОФР!AI5,0)</f>
        <v>0</v>
      </c>
      <c r="AJ6" s="277">
        <f>IF(ОФР!AJ15&gt;0,ОФР!AJ15/ОФР!AJ5,0)</f>
        <v>1.8332014641265094E-3</v>
      </c>
      <c r="AK6" s="277">
        <f>IF(ОФР!AK15&gt;0,ОФР!AK15/ОФР!AK5,0)</f>
        <v>2.7525308694104724E-3</v>
      </c>
      <c r="AL6" s="277">
        <f>IF(ОФР!AL15&gt;0,ОФР!AL15/ОФР!AL5,0)</f>
        <v>3.6692316344303691E-3</v>
      </c>
      <c r="AM6" s="277">
        <f>IF(ОФР!AM15&gt;0,ОФР!AM15/ОФР!AM5,0)</f>
        <v>0.14849448805267085</v>
      </c>
      <c r="AN6" s="277">
        <f>IF(ОФР!AN15&gt;0,ОФР!AN15/ОФР!AN5,0)</f>
        <v>9.8360122921811746E-2</v>
      </c>
      <c r="AO6" s="277">
        <f>IF(ОФР!AO15&gt;0,ОФР!AO15/ОФР!AO5,0)</f>
        <v>0</v>
      </c>
      <c r="AP6" s="277">
        <f>IF(ОФР!AP15&gt;0,ОФР!AP15/ОФР!AP5,0)</f>
        <v>0</v>
      </c>
      <c r="AQ6" s="277">
        <f>IF(ОФР!AQ15&gt;0,ОФР!AQ15/ОФР!AQ5,0)</f>
        <v>0</v>
      </c>
      <c r="AR6" s="277">
        <f>IF(ОФР!AR15&gt;0,ОФР!AR15/ОФР!AR5,0)</f>
        <v>8.5996019439423378E-4</v>
      </c>
      <c r="AS6" s="277">
        <f>IF(ОФР!AS15&gt;0,ОФР!AS15/ОФР!AS5,0)</f>
        <v>1.7783738581188988E-3</v>
      </c>
      <c r="AT6" s="277">
        <f>IF(ОФР!AT15&gt;0,ОФР!AT15/ОФР!AT5,0)</f>
        <v>2.6939763371809388E-3</v>
      </c>
      <c r="AU6" s="277">
        <f>IF(ОФР!AU15&gt;0,ОФР!AU15/ОФР!AU5,0)</f>
        <v>0</v>
      </c>
      <c r="AV6" s="277">
        <f>IF(ОФР!AV15&gt;0,ОФР!AV15/ОФР!AV5,0)</f>
        <v>4.5171624716345881E-3</v>
      </c>
      <c r="AW6" s="277">
        <f>IF(ОФР!AW15&gt;0,ОФР!AW15/ОФР!AW5,0)</f>
        <v>5.4246663435138275E-3</v>
      </c>
      <c r="AX6" s="277">
        <f>IF(ОФР!AX15&gt;0,ОФР!AX15/ОФР!AX5,0)</f>
        <v>6.3294863174933082E-3</v>
      </c>
      <c r="AY6" s="277">
        <f>IF(ОФР!AY15&gt;0,ОФР!AY15/ОФР!AY5,0)</f>
        <v>0.14976501325394839</v>
      </c>
      <c r="AZ6" s="277">
        <f>IF(ОФР!AZ15&gt;0,ОФР!AZ15/ОФР!AZ5,0)</f>
        <v>0.10004647125182298</v>
      </c>
      <c r="BA6" s="277">
        <f>IF(ОФР!BA15&gt;0,ОФР!BA15/ОФР!BA5,0)</f>
        <v>6.0676783909868477E-4</v>
      </c>
      <c r="BB6" s="277">
        <f>IF(ОФР!BB15&gt;0,ОФР!BB15/ОФР!BB5,0)</f>
        <v>0</v>
      </c>
      <c r="BC6" s="277">
        <f>IF(ОФР!BC15&gt;0,ОФР!BC15/ОФР!BC5,0)</f>
        <v>2.4343939986254887E-3</v>
      </c>
      <c r="BD6" s="277">
        <f>IF(ОФР!BD15&gt;0,ОФР!BD15/ОФР!BD5,0)</f>
        <v>3.3442614399507302E-3</v>
      </c>
      <c r="BE6" s="277">
        <f>IF(ОФР!BE15&gt;0,ОФР!BE15/ОФР!BE5,0)</f>
        <v>4.251353120432756E-3</v>
      </c>
      <c r="BF6" s="277">
        <f>IF(ОФР!BF15&gt;0,ОФР!BF15/ОФР!BF5,0)</f>
        <v>5.1558630479866929E-3</v>
      </c>
      <c r="BG6" s="277">
        <f>IF(ОФР!BG15&gt;0,ОФР!BG15/ОФР!BG5,0)</f>
        <v>0</v>
      </c>
      <c r="BH6" s="277">
        <f>IF(ОФР!BH15&gt;0,ОФР!BH15/ОФР!BH5,0)</f>
        <v>6.9567039783464688E-3</v>
      </c>
      <c r="BI6" s="277">
        <f>IF(ОФР!BI15&gt;0,ОФР!BI15/ОФР!BI5,0)</f>
        <v>7.8532354421086709E-3</v>
      </c>
      <c r="BJ6" s="277">
        <f>IF(ОФР!BJ15&gt;0,ОФР!BJ15/ОФР!BJ5,0)</f>
        <v>8.7470306891548437E-3</v>
      </c>
    </row>
    <row r="7" spans="1:62" ht="12" customHeight="1">
      <c r="A7" s="19" t="s">
        <v>180</v>
      </c>
      <c r="B7" s="113">
        <f>AVERAGE(C7:BJ7)</f>
        <v>3.6949286113246112E-2</v>
      </c>
      <c r="C7" s="277">
        <f>IF(ОФР!C10&gt;0,ОФР!C10/ОФР!C5,0)</f>
        <v>0.18382423093364167</v>
      </c>
      <c r="D7" s="277">
        <f>IF(ОФР!D10&gt;0,ОФР!D10/ОФР!D5,0)</f>
        <v>0.12474141354314579</v>
      </c>
      <c r="E7" s="277">
        <f>IF(ОФР!E10&gt;0,ОФР!E10/ОФР!E5,0)</f>
        <v>4.6261692108958644E-3</v>
      </c>
      <c r="F7" s="277">
        <f>IF(ОФР!F10&gt;0,ОФР!F10/ОФР!F5,0)</f>
        <v>0</v>
      </c>
      <c r="G7" s="277">
        <f>IF(ОФР!G10&gt;0,ОФР!G10/ОФР!G5,0)</f>
        <v>6.4301839183617268E-3</v>
      </c>
      <c r="H7" s="277">
        <f>IF(ОФР!H10&gt;0,ОФР!H10/ОФР!H5,0)</f>
        <v>7.3288185838658541E-3</v>
      </c>
      <c r="I7" s="277">
        <f>IF(ОФР!I10&gt;0,ОФР!I10/ОФР!I5,0)</f>
        <v>8.2252122651668355E-3</v>
      </c>
      <c r="J7" s="277">
        <f>IF(ОФР!J10&gt;0,ОФР!J10/ОФР!J5,0)</f>
        <v>9.1193705507538071E-3</v>
      </c>
      <c r="K7" s="277">
        <f>IF(ОФР!K10&gt;0,ОФР!K10/ОФР!K5,0)</f>
        <v>0</v>
      </c>
      <c r="L7" s="277">
        <f>IF(ОФР!L10&gt;0,ОФР!L10/ОФР!L5,0)</f>
        <v>1.0901003219095894E-2</v>
      </c>
      <c r="M7" s="277">
        <f>IF(ОФР!M10&gt;0,ОФР!M10/ОФР!M5,0)</f>
        <v>1.1788488709286553E-2</v>
      </c>
      <c r="N7" s="277">
        <f>IF(ОФР!N10&gt;0,ОФР!N10/ОФР!N5,0)</f>
        <v>1.2673761018703303E-2</v>
      </c>
      <c r="O7" s="277">
        <f>IF(ОФР!O10&gt;0,ОФР!O10/ОФР!O5,0)</f>
        <v>0.18913392074046106</v>
      </c>
      <c r="P7" s="277">
        <f>IF(ОФР!P10&gt;0,ОФР!P10/ОФР!P5,0)</f>
        <v>0.13050835189101115</v>
      </c>
      <c r="Q7" s="277">
        <f>IF(ОФР!Q10&gt;0,ОФР!Q10/ОФР!Q5,0)</f>
        <v>1.32550046441108E-2</v>
      </c>
      <c r="R7" s="277">
        <f>IF(ОФР!R10&gt;0,ОФР!R10/ОФР!R5,0)</f>
        <v>0</v>
      </c>
      <c r="S7" s="277">
        <f>IF(ОФР!S10&gt;0,ОФР!S10/ОФР!S5,0)</f>
        <v>1.5016036427453411E-2</v>
      </c>
      <c r="T7" s="277">
        <f>IF(ОФР!T10&gt;0,ОФР!T10/ОФР!T5,0)</f>
        <v>1.5893259989443412E-2</v>
      </c>
      <c r="U7" s="277">
        <f>IF(ОФР!U10&gt;0,ОФР!U10/ОФР!U5,0)</f>
        <v>1.6768295961503497E-2</v>
      </c>
      <c r="V7" s="277">
        <f>IF(ОФР!V10&gt;0,ОФР!V10/ОФР!V5,0)</f>
        <v>1.7641149798969694E-2</v>
      </c>
      <c r="W7" s="277">
        <f>IF(ОФР!W10&gt;0,ОФР!W10/ОФР!W5,0)</f>
        <v>0</v>
      </c>
      <c r="X7" s="277">
        <f>IF(ОФР!X10&gt;0,ОФР!X10/ОФР!X5,0)</f>
        <v>1.9380332823479757E-2</v>
      </c>
      <c r="Y7" s="277">
        <f>IF(ОФР!Y10&gt;0,ОФР!Y10/ОФР!Y5,0)</f>
        <v>2.0246672853310197E-2</v>
      </c>
      <c r="Z7" s="277">
        <f>IF(ОФР!Z10&gt;0,ОФР!Z10/ОФР!Z5,0)</f>
        <v>2.111085243418848E-2</v>
      </c>
      <c r="AA7" s="277">
        <f>IF(ОФР!AA10&gt;0,ОФР!AA10/ОФР!AA5,0)</f>
        <v>0.18903288645630956</v>
      </c>
      <c r="AB7" s="277">
        <f>IF(ОФР!AB10&gt;0,ОФР!AB10/ОФР!AB5,0)</f>
        <v>0.13037397545323723</v>
      </c>
      <c r="AC7" s="277">
        <f>IF(ОФР!AC10&gt;0,ОФР!AC10/ОФР!AC5,0)</f>
        <v>1.3053942642453515E-2</v>
      </c>
      <c r="AD7" s="277">
        <f>IF(ОФР!AD10&gt;0,ОФР!AD10/ОФР!AD5,0)</f>
        <v>0</v>
      </c>
      <c r="AE7" s="277">
        <f>IF(ОФР!AE10&gt;0,ОФР!AE10/ОФР!AE5,0)</f>
        <v>1.4815975978419047E-2</v>
      </c>
      <c r="AF7" s="277">
        <f>IF(ОФР!AF10&gt;0,ОФР!AF10/ОФР!AF5,0)</f>
        <v>1.5693698444272656E-2</v>
      </c>
      <c r="AG7" s="277">
        <f>IF(ОФР!AG10&gt;0,ОФР!AG10/ОФР!AG5,0)</f>
        <v>1.6569232076046287E-2</v>
      </c>
      <c r="AH7" s="277">
        <f>IF(ОФР!AH10&gt;0,ОФР!AH10/ОФР!AH5,0)</f>
        <v>1.7442582332179442E-2</v>
      </c>
      <c r="AI7" s="277">
        <f>IF(ОФР!AI10&gt;0,ОФР!AI10/ОФР!AI5,0)</f>
        <v>0</v>
      </c>
      <c r="AJ7" s="277">
        <f>IF(ОФР!AJ10&gt;0,ОФР!AJ10/ОФР!AJ5,0)</f>
        <v>1.9182754483255057E-2</v>
      </c>
      <c r="AK7" s="277">
        <f>IF(ОФР!AK10&gt;0,ОФР!AK10/ОФР!AK5,0)</f>
        <v>2.0049587227151021E-2</v>
      </c>
      <c r="AL7" s="277">
        <f>IF(ОФР!AL10&gt;0,ОФР!AL10/ОФР!AL5,0)</f>
        <v>2.0914258293381387E-2</v>
      </c>
      <c r="AM7" s="277">
        <f>IF(ОФР!AM10&gt;0,ОФР!AM10/ОФР!AM5,0)</f>
        <v>0.18918464251375339</v>
      </c>
      <c r="AN7" s="277">
        <f>IF(ОФР!AN10&gt;0,ОФР!AN10/ОФР!AN5,0)</f>
        <v>0.13057581227111748</v>
      </c>
      <c r="AO7" s="277">
        <f>IF(ОФР!AO10&gt;0,ОФР!AO10/ОФР!AO5,0)</f>
        <v>1.3355942868708484E-2</v>
      </c>
      <c r="AP7" s="277">
        <f>IF(ОФР!AP10&gt;0,ОФР!AP10/ОФР!AP5,0)</f>
        <v>0</v>
      </c>
      <c r="AQ7" s="277">
        <f>IF(ОФР!AQ10&gt;0,ОФР!AQ10/ОФР!AQ5,0)</f>
        <v>1.5116471847230866E-2</v>
      </c>
      <c r="AR7" s="277">
        <f>IF(ОФР!AR10&gt;0,ОФР!AR10/ОФР!AR5,0)</f>
        <v>1.5993444946827518E-2</v>
      </c>
      <c r="AS7" s="277">
        <f>IF(ОФР!AS10&gt;0,ОФР!AS10/ОФР!AS5,0)</f>
        <v>1.686823108108872E-2</v>
      </c>
      <c r="AT7" s="277">
        <f>IF(ОФР!AT10&gt;0,ОФР!AT10/ОФР!AT5,0)</f>
        <v>1.7740835703792965E-2</v>
      </c>
      <c r="AU7" s="277">
        <f>IF(ОФР!AU10&gt;0,ОФР!AU10/ОФР!AU5,0)</f>
        <v>0</v>
      </c>
      <c r="AV7" s="277">
        <f>IF(ОФР!AV10&gt;0,ОФР!AV10/ОФР!AV5,0)</f>
        <v>1.9479522161678448E-2</v>
      </c>
      <c r="AW7" s="277">
        <f>IF(ОФР!AW10&gt;0,ОФР!AW10/ОФР!AW5,0)</f>
        <v>2.0345614836550823E-2</v>
      </c>
      <c r="AX7" s="277">
        <f>IF(ОФР!AX10&gt;0,ОФР!AX10/ОФР!AX5,0)</f>
        <v>2.1209547679316397E-2</v>
      </c>
      <c r="AY7" s="277">
        <f>IF(ОФР!AY10&gt;0,ОФР!AY10/ОФР!AY5,0)</f>
        <v>0.18926633495314388</v>
      </c>
      <c r="AZ7" s="277">
        <f>IF(ОФР!AZ10&gt;0,ОФР!AZ10/ОФР!AZ5,0)</f>
        <v>0.13068446389457944</v>
      </c>
      <c r="BA7" s="277">
        <f>IF(ОФР!BA10&gt;0,ОФР!BA10/ОФР!BA5,0)</f>
        <v>1.3518513876382549E-2</v>
      </c>
      <c r="BB7" s="277">
        <f>IF(ОФР!BB10&gt;0,ОФР!BB10/ОФР!BB5,0)</f>
        <v>0</v>
      </c>
      <c r="BC7" s="277">
        <f>IF(ОФР!BC10&gt;0,ОФР!BC10/ОФР!BC5,0)</f>
        <v>1.5278233037943881E-2</v>
      </c>
      <c r="BD7" s="277">
        <f>IF(ОФР!BD10&gt;0,ОФР!BD10/ОФР!BD5,0)</f>
        <v>1.6154802743049947E-2</v>
      </c>
      <c r="BE7" s="277">
        <f>IF(ОФР!BE10&gt;0,ОФР!BE10/ОФР!BE5,0)</f>
        <v>1.7029186488792158E-2</v>
      </c>
      <c r="BF7" s="277">
        <f>IF(ОФР!BF10&gt;0,ОФР!BF10/ОФР!BF5,0)</f>
        <v>1.7901389726439586E-2</v>
      </c>
      <c r="BG7" s="277">
        <f>IF(ОФР!BG10&gt;0,ОФР!BG10/ОФР!BG5,0)</f>
        <v>0</v>
      </c>
      <c r="BH7" s="277">
        <f>IF(ОФР!BH10&gt;0,ОФР!BH10/ОФР!BH5,0)</f>
        <v>1.9639276414596386E-2</v>
      </c>
      <c r="BI7" s="277">
        <f>IF(ОФР!BI10&gt;0,ОФР!BI10/ОФР!BI5,0)</f>
        <v>2.0504970699810655E-2</v>
      </c>
      <c r="BJ7" s="277">
        <f>IF(ОФР!BJ10&gt;0,ОФР!BJ10/ОФР!BJ5,0)</f>
        <v>2.1368506146408426E-2</v>
      </c>
    </row>
    <row r="8" spans="1:62" ht="12" customHeight="1">
      <c r="A8" s="19" t="s">
        <v>179</v>
      </c>
      <c r="B8" s="253">
        <f>AVERAGE(C8:BJ8)</f>
        <v>4.1441273718626562E-2</v>
      </c>
      <c r="C8" s="277">
        <f>IF(Амортизація!C30&gt;0,ОФР!C15/Амортизація!C30,0)</f>
        <v>0</v>
      </c>
      <c r="D8" s="277">
        <f>IF(Амортизація!D30&gt;0,ОФР!D15/Амортизація!D30,0)</f>
        <v>0</v>
      </c>
      <c r="E8" s="277">
        <f>IF(Амортизація!E30&gt;0,ОФР!E15/Амортизація!E30,0)</f>
        <v>0</v>
      </c>
      <c r="F8" s="277">
        <f>IF(Амортизація!F30&gt;0,ОФР!F15/Амортизація!F30,0)</f>
        <v>-0.12828546141220293</v>
      </c>
      <c r="G8" s="277">
        <f>IF(Амортизація!G30&gt;0,ОФР!G15/Амортизація!G30,0)</f>
        <v>-2.5911033434771632E-2</v>
      </c>
      <c r="H8" s="277">
        <f>IF(Амортизація!H30&gt;0,ОФР!H15/Амортизація!H30,0)</f>
        <v>-2.4711419470789139E-2</v>
      </c>
      <c r="I8" s="277">
        <f>IF(Амортизація!I30&gt;0,ОФР!I15/Амортизація!I30,0)</f>
        <v>-2.3460174885868504E-2</v>
      </c>
      <c r="J8" s="277">
        <f>IF(Амортизація!J30&gt;0,ОФР!J15/Амортизація!J30,0)</f>
        <v>-2.2156206271530924E-2</v>
      </c>
      <c r="K8" s="277">
        <f>IF(Амортизація!K30&gt;0,ОФР!K15/Амортизація!K30,0)</f>
        <v>-0.13227993187071066</v>
      </c>
      <c r="L8" s="277">
        <f>IF(Амортизація!L30&gt;0,ОФР!L15/Амортизація!L30,0)</f>
        <v>-1.938331021007576E-2</v>
      </c>
      <c r="M8" s="277">
        <f>IF(Амортизація!M30&gt;0,ОФР!M15/Амортизація!M30,0)</f>
        <v>-1.7911463663779305E-2</v>
      </c>
      <c r="N8" s="277">
        <f>IF(Амортизація!N30&gt;0,ОФР!N15/Амортизація!N30,0)</f>
        <v>-1.6380279164091151E-2</v>
      </c>
      <c r="O8" s="277">
        <f>IF(Амортизація!O30&gt;0,ОФР!O15/Амортизація!O30,0)</f>
        <v>0.47885313267373336</v>
      </c>
      <c r="P8" s="277">
        <f>IF(Амортизація!P30&gt;0,ОФР!P15/Амортизація!P30,0)</f>
        <v>0.23809019242760962</v>
      </c>
      <c r="Q8" s="277">
        <f>IF(Амортизація!Q30&gt;0,ОФР!Q15/Амортизація!Q30,0)</f>
        <v>-1.4932950455225439E-2</v>
      </c>
      <c r="R8" s="277">
        <f>IF(Амортизація!R30&gt;0,ОФР!R15/Амортизація!R30,0)</f>
        <v>-0.1408197970523154</v>
      </c>
      <c r="S8" s="277">
        <f>IF(Амортизація!S30&gt;0,ОФР!S15/Амортизація!S30,0)</f>
        <v>-1.1416219606773479E-2</v>
      </c>
      <c r="T8" s="277">
        <f>IF(Амортизація!T30&gt;0,ОФР!T15/Амортизація!T30,0)</f>
        <v>-9.555905989806766E-3</v>
      </c>
      <c r="U8" s="277">
        <f>IF(Амортизація!U30&gt;0,ОФР!U15/Амортизація!U30,0)</f>
        <v>-7.6250467339282653E-3</v>
      </c>
      <c r="V8" s="277">
        <f>IF(Амортизація!V30&gt;0,ОФР!V15/Амортизація!V30,0)</f>
        <v>-5.6214702601845214E-3</v>
      </c>
      <c r="W8" s="277">
        <f>IF(Амортизація!W30&gt;0,ОФР!W15/Амортизація!W30,0)</f>
        <v>-0.14408644857860195</v>
      </c>
      <c r="X8" s="277">
        <f>IF(Амортизація!X30&gt;0,ОФР!X15/Амортизація!X30,0)</f>
        <v>-1.3893290365074077E-3</v>
      </c>
      <c r="Y8" s="277">
        <f>IF(Амортизація!Y30&gt;0,ОФР!Y15/Амортизація!Y30,0)</f>
        <v>6.9193782438902872E-4</v>
      </c>
      <c r="Z8" s="277">
        <f>IF(Амортизація!Z30&gt;0,ОФР!Z15/Амортизація!Z30,0)</f>
        <v>2.5891199602756099E-3</v>
      </c>
      <c r="AA8" s="277">
        <f>IF(Амортизація!AA30&gt;0,ОФР!AA15/Амортизація!AA30,0)</f>
        <v>0.60889459363549103</v>
      </c>
      <c r="AB8" s="277">
        <f>IF(Амортизація!AB30&gt;0,ОФР!AB15/Амортизація!AB30,0)</f>
        <v>0.30544755883176117</v>
      </c>
      <c r="AC8" s="277">
        <f>IF(Амортизація!AC30&gt;0,ОФР!AC15/Амортизація!AC30,0)</f>
        <v>-1.2275752829008073E-2</v>
      </c>
      <c r="AD8" s="277">
        <f>IF(Амортизація!AD30&gt;0,ОФР!AD15/Амортизація!AD30,0)</f>
        <v>-0.17088137539357429</v>
      </c>
      <c r="AE8" s="277">
        <f>IF(Амортизація!AE30&gt;0,ОФР!AE15/Амортизація!AE30,0)</f>
        <v>-7.6476672824400925E-3</v>
      </c>
      <c r="AF8" s="277">
        <f>IF(Амортизація!AF30&gt;0,ОФР!AF15/Амортизація!AF30,0)</f>
        <v>-5.2027116308206965E-3</v>
      </c>
      <c r="AG8" s="277">
        <f>IF(Амортизація!AG30&gt;0,ОФР!AG15/Амортизація!AG30,0)</f>
        <v>-2.6676584551051188E-3</v>
      </c>
      <c r="AH8" s="277">
        <f>IF(Амортизація!AH30&gt;0,ОФР!AH15/Амортизація!AH30,0)</f>
        <v>-3.9772741388860376E-5</v>
      </c>
      <c r="AI8" s="277">
        <f>IF(Амортизація!AI30&gt;0,ОФР!AI15/Амортизація!AI30,0)</f>
        <v>-0.17449515347253131</v>
      </c>
      <c r="AJ8" s="277">
        <f>IF(Амортизація!AJ30&gt;0,ОФР!AJ15/Амортизація!AJ30,0)</f>
        <v>4.5140568694651221E-3</v>
      </c>
      <c r="AK8" s="277">
        <f>IF(Амортизація!AK30&gt;0,ОФР!AK15/Амортизація!AK30,0)</f>
        <v>6.9099141077585309E-3</v>
      </c>
      <c r="AL8" s="277">
        <f>IF(Амортизація!AL30&gt;0,ОФР!AL15/Амортизація!AL30,0)</f>
        <v>9.3907266685311769E-3</v>
      </c>
      <c r="AM8" s="277">
        <f>IF(Амортизація!AM30&gt;0,ОФР!AM15/Амортизація!AM30,0)</f>
        <v>0.774904209154336</v>
      </c>
      <c r="AN8" s="277">
        <f>IF(Амортизація!AN30&gt;0,ОФР!AN15/Амортизація!AN30,0)</f>
        <v>0.39246563281555186</v>
      </c>
      <c r="AO8" s="277">
        <f>IF(Амортизація!AO30&gt;0,ОФР!AO15/Амортизація!AO30,0)</f>
        <v>-6.3215869497659505E-3</v>
      </c>
      <c r="AP8" s="277">
        <f>IF(Амортизація!AP30&gt;0,ОФР!AP15/Амортизація!AP30,0)</f>
        <v>-0.2061346582539868</v>
      </c>
      <c r="AQ8" s="277">
        <f>IF(Амортизація!AQ30&gt;0,ОФР!AQ15/Амортизація!AQ30,0)</f>
        <v>-2.0995745111313454E-4</v>
      </c>
      <c r="AR8" s="277">
        <f>IF(Амортизація!AR30&gt;0,ОФР!AR15/Амортизація!AR30,0)</f>
        <v>2.4711786330054936E-3</v>
      </c>
      <c r="AS8" s="277">
        <f>IF(Амортизація!AS30&gt;0,ОФР!AS15/Амортизація!AS30,0)</f>
        <v>5.2099370595196813E-3</v>
      </c>
      <c r="AT8" s="277">
        <f>IF(Амортизація!AT30&gt;0,ОФР!AT15/Амортизація!AT30,0)</f>
        <v>8.0461256030657687E-3</v>
      </c>
      <c r="AU8" s="277">
        <f>IF(Амортизація!AU30&gt;0,ОФР!AU15/Амортизація!AU30,0)</f>
        <v>-0.20997169829748244</v>
      </c>
      <c r="AV8" s="277">
        <f>IF(Амортизація!AV30&gt;0,ОФР!AV15/Амортизація!AV30,0)</f>
        <v>1.4022517236251201E-2</v>
      </c>
      <c r="AW8" s="277">
        <f>IF(Амортизація!AW30&gt;0,ОФР!AW15/Амортизація!AW30,0)</f>
        <v>1.71678900100618E-2</v>
      </c>
      <c r="AX8" s="277">
        <f>IF(Амортизація!AX30&gt;0,ОФР!AX15/Амортизація!AX30,0)</f>
        <v>2.0421892068362021E-2</v>
      </c>
      <c r="AY8" s="277">
        <f>IF(Амортизація!AY30&gt;0,ОФР!AY15/Амортизація!AY30,0)</f>
        <v>0.98526146255027602</v>
      </c>
      <c r="AZ8" s="277">
        <f>IF(Амортизація!AZ30&gt;0,ОФР!AZ15/Амортизація!AZ30,0)</f>
        <v>0.50325463739124643</v>
      </c>
      <c r="BA8" s="277">
        <f>IF(Амортизація!BA30&gt;0,ОФР!BA15/Амортизація!BA30,0)</f>
        <v>2.0744402234794531E-3</v>
      </c>
      <c r="BB8" s="277">
        <f>IF(Амортизація!BB30&gt;0,ОФР!BB15/Амортизація!BB30,0)</f>
        <v>-0.24921330342802661</v>
      </c>
      <c r="BC8" s="277">
        <f>IF(Амортизація!BC30&gt;0,ОФР!BC15/Амортизація!BC30,0)</f>
        <v>8.6504057780346661E-3</v>
      </c>
      <c r="BD8" s="277">
        <f>IF(Амортизація!BD30&gt;0,ОФР!BD15/Амортизація!BD30,0)</f>
        <v>1.2115168332496189E-2</v>
      </c>
      <c r="BE8" s="277">
        <f>IF(Амортизація!BE30&gt;0,ОФР!BE15/Амортизація!BE30,0)</f>
        <v>1.5701459766830472E-2</v>
      </c>
      <c r="BF8" s="277">
        <f>IF(Амортизація!BF30&gt;0,ОФР!BF15/Амортизація!BF30,0)</f>
        <v>1.9413231988416563E-2</v>
      </c>
      <c r="BG8" s="277">
        <f>IF(Амортизація!BG30&gt;0,ОФР!BG15/Амортизація!BG30,0)</f>
        <v>-0.25323360331818012</v>
      </c>
      <c r="BH8" s="277">
        <f>IF(Амортизація!BH30&gt;0,ОФР!BH15/Амортизація!BH30,0)</f>
        <v>2.7224959049375198E-2</v>
      </c>
      <c r="BI8" s="277">
        <f>IF(Амортизація!BI30&gt;0,ОФР!BI15/Амортизація!BI30,0)</f>
        <v>3.1332565013004028E-2</v>
      </c>
      <c r="BJ8" s="277">
        <f>IF(Амортизація!BJ30&gt;0,ОФР!BJ15/Амортизація!BJ30,0)</f>
        <v>3.5578825045853052E-2</v>
      </c>
    </row>
    <row r="9" spans="1:62" ht="12" customHeight="1">
      <c r="A9" s="119"/>
      <c r="B9" s="152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</row>
    <row r="10" spans="1:62" ht="12" customHeight="1">
      <c r="A10" s="119"/>
      <c r="B10" s="152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</row>
    <row r="11" spans="1:62" ht="26">
      <c r="A11" s="87" t="s">
        <v>224</v>
      </c>
      <c r="B11" s="88" t="s">
        <v>219</v>
      </c>
      <c r="C11" s="89">
        <f>C5</f>
        <v>44562</v>
      </c>
      <c r="D11" s="89">
        <f t="shared" ref="D11:AL11" si="0">D5</f>
        <v>44593</v>
      </c>
      <c r="E11" s="89">
        <f t="shared" si="0"/>
        <v>44621</v>
      </c>
      <c r="F11" s="89">
        <f t="shared" si="0"/>
        <v>44652</v>
      </c>
      <c r="G11" s="89">
        <f t="shared" si="0"/>
        <v>44682</v>
      </c>
      <c r="H11" s="89">
        <f t="shared" si="0"/>
        <v>44713</v>
      </c>
      <c r="I11" s="89">
        <f t="shared" si="0"/>
        <v>44743</v>
      </c>
      <c r="J11" s="89">
        <f t="shared" si="0"/>
        <v>44774</v>
      </c>
      <c r="K11" s="89">
        <f t="shared" si="0"/>
        <v>44805</v>
      </c>
      <c r="L11" s="89">
        <f t="shared" si="0"/>
        <v>44835</v>
      </c>
      <c r="M11" s="89">
        <f t="shared" si="0"/>
        <v>44866</v>
      </c>
      <c r="N11" s="89">
        <f t="shared" si="0"/>
        <v>44896</v>
      </c>
      <c r="O11" s="89">
        <f t="shared" si="0"/>
        <v>44927</v>
      </c>
      <c r="P11" s="89">
        <f t="shared" si="0"/>
        <v>44958</v>
      </c>
      <c r="Q11" s="89">
        <f t="shared" si="0"/>
        <v>44986</v>
      </c>
      <c r="R11" s="89">
        <f t="shared" si="0"/>
        <v>45017</v>
      </c>
      <c r="S11" s="89">
        <f t="shared" si="0"/>
        <v>45047</v>
      </c>
      <c r="T11" s="89">
        <f t="shared" si="0"/>
        <v>45078</v>
      </c>
      <c r="U11" s="89">
        <f t="shared" si="0"/>
        <v>45108</v>
      </c>
      <c r="V11" s="89">
        <f t="shared" si="0"/>
        <v>45139</v>
      </c>
      <c r="W11" s="89">
        <f t="shared" si="0"/>
        <v>45170</v>
      </c>
      <c r="X11" s="89">
        <f t="shared" si="0"/>
        <v>45200</v>
      </c>
      <c r="Y11" s="89">
        <f t="shared" si="0"/>
        <v>45231</v>
      </c>
      <c r="Z11" s="89">
        <f t="shared" si="0"/>
        <v>45261</v>
      </c>
      <c r="AA11" s="89">
        <f t="shared" si="0"/>
        <v>45292</v>
      </c>
      <c r="AB11" s="89">
        <f t="shared" si="0"/>
        <v>45323</v>
      </c>
      <c r="AC11" s="89">
        <f t="shared" si="0"/>
        <v>45352</v>
      </c>
      <c r="AD11" s="89">
        <f t="shared" si="0"/>
        <v>45383</v>
      </c>
      <c r="AE11" s="89">
        <f t="shared" si="0"/>
        <v>45413</v>
      </c>
      <c r="AF11" s="89">
        <f t="shared" si="0"/>
        <v>45444</v>
      </c>
      <c r="AG11" s="89">
        <f t="shared" si="0"/>
        <v>45474</v>
      </c>
      <c r="AH11" s="89">
        <f t="shared" si="0"/>
        <v>45505</v>
      </c>
      <c r="AI11" s="89">
        <f t="shared" si="0"/>
        <v>45536</v>
      </c>
      <c r="AJ11" s="89">
        <f t="shared" si="0"/>
        <v>45566</v>
      </c>
      <c r="AK11" s="89">
        <f t="shared" si="0"/>
        <v>45597</v>
      </c>
      <c r="AL11" s="89">
        <f t="shared" si="0"/>
        <v>45627</v>
      </c>
      <c r="AM11" s="89">
        <f t="shared" ref="AM11:BJ11" si="1">AM5</f>
        <v>45658</v>
      </c>
      <c r="AN11" s="89">
        <f t="shared" si="1"/>
        <v>45689</v>
      </c>
      <c r="AO11" s="89">
        <f t="shared" si="1"/>
        <v>45717</v>
      </c>
      <c r="AP11" s="89">
        <f t="shared" si="1"/>
        <v>45748</v>
      </c>
      <c r="AQ11" s="89">
        <f t="shared" si="1"/>
        <v>45778</v>
      </c>
      <c r="AR11" s="89">
        <f t="shared" si="1"/>
        <v>45809</v>
      </c>
      <c r="AS11" s="89">
        <f t="shared" si="1"/>
        <v>45839</v>
      </c>
      <c r="AT11" s="89">
        <f t="shared" si="1"/>
        <v>45870</v>
      </c>
      <c r="AU11" s="89">
        <f t="shared" si="1"/>
        <v>45901</v>
      </c>
      <c r="AV11" s="89">
        <f t="shared" si="1"/>
        <v>45931</v>
      </c>
      <c r="AW11" s="89">
        <f t="shared" si="1"/>
        <v>45962</v>
      </c>
      <c r="AX11" s="89">
        <f t="shared" si="1"/>
        <v>45992</v>
      </c>
      <c r="AY11" s="89">
        <f t="shared" si="1"/>
        <v>46023</v>
      </c>
      <c r="AZ11" s="89">
        <f t="shared" si="1"/>
        <v>46054</v>
      </c>
      <c r="BA11" s="89">
        <f t="shared" si="1"/>
        <v>46082</v>
      </c>
      <c r="BB11" s="89">
        <f t="shared" si="1"/>
        <v>46113</v>
      </c>
      <c r="BC11" s="89">
        <f t="shared" si="1"/>
        <v>46143</v>
      </c>
      <c r="BD11" s="89">
        <f t="shared" si="1"/>
        <v>46174</v>
      </c>
      <c r="BE11" s="89">
        <f t="shared" si="1"/>
        <v>46204</v>
      </c>
      <c r="BF11" s="89">
        <f t="shared" si="1"/>
        <v>46235</v>
      </c>
      <c r="BG11" s="89">
        <f t="shared" si="1"/>
        <v>46266</v>
      </c>
      <c r="BH11" s="89">
        <f t="shared" si="1"/>
        <v>46296</v>
      </c>
      <c r="BI11" s="89">
        <f t="shared" si="1"/>
        <v>46327</v>
      </c>
      <c r="BJ11" s="89">
        <f t="shared" si="1"/>
        <v>46357</v>
      </c>
    </row>
    <row r="12" spans="1:62">
      <c r="A12" s="19" t="s">
        <v>225</v>
      </c>
      <c r="B12" s="154">
        <f>AVERAGE(C12:BJ12)</f>
        <v>2.5267294729498513</v>
      </c>
      <c r="C12" s="281">
        <f>IF(Амортизація!C30&gt;0,ОФР!C5/Амортизація!C30,0)</f>
        <v>0</v>
      </c>
      <c r="D12" s="281">
        <f>IF(Амортизація!D30&gt;0,ОФР!D5/Амортизація!D30,0)</f>
        <v>0</v>
      </c>
      <c r="E12" s="281">
        <f>IF(Амортизація!E30&gt;0,ОФР!E5/Амортизація!E30,0)</f>
        <v>0</v>
      </c>
      <c r="F12" s="281">
        <f>IF(Амортизація!F30&gt;0,ОФР!F5/Амортизація!F30,0)</f>
        <v>1.1039215634059474</v>
      </c>
      <c r="G12" s="281">
        <f>IF(Амортизація!G30&gt;0,ОФР!G5/Амортизація!G30,0)</f>
        <v>1.4067983482810957</v>
      </c>
      <c r="H12" s="281">
        <f>IF(Амортизація!H30&gt;0,ОФР!H5/Амортизація!H30,0)</f>
        <v>1.4342189940526764</v>
      </c>
      <c r="I12" s="281">
        <f>IF(Амортизація!I30&gt;0,ОФР!I5/Амортизація!I30,0)</f>
        <v>1.4621741100384493</v>
      </c>
      <c r="J12" s="281">
        <f>IF(Амортизація!J30&gt;0,ОФР!J5/Амортизація!J30,0)</f>
        <v>1.4906741138781816</v>
      </c>
      <c r="K12" s="281">
        <f>IF(Амортизація!K30&gt;0,ОФР!K5/Амортизація!K30,0)</f>
        <v>1.2157837010138663</v>
      </c>
      <c r="L12" s="281">
        <f>IF(Амортизація!L30&gt;0,ОФР!L5/Амортизація!L30,0)</f>
        <v>1.5493514749149162</v>
      </c>
      <c r="M12" s="281">
        <f>IF(Амортизація!M30&gt;0,ОФР!M5/Амортизація!M30,0)</f>
        <v>1.5795506985785117</v>
      </c>
      <c r="N12" s="281">
        <f>IF(Амортизація!N30&gt;0,ОФР!N5/Амортизація!N30,0)</f>
        <v>1.6103385511779231</v>
      </c>
      <c r="O12" s="281">
        <f>IF(Амортизація!O30&gt;0,ОФР!O5/Амортизація!O30,0)</f>
        <v>3.283453011978037</v>
      </c>
      <c r="P12" s="281">
        <f>IF(Амортизація!P30&gt;0,ОФР!P5/Амортизація!P30,0)</f>
        <v>2.5105893898789686</v>
      </c>
      <c r="Q12" s="281">
        <f>IF(Амортизація!Q30&gt;0,ОФР!Q5/Амортизація!Q30,0)</f>
        <v>1.7063497378668921</v>
      </c>
      <c r="R12" s="281">
        <f>IF(Амортизація!R30&gt;0,ОФР!R5/Амортизація!R30,0)</f>
        <v>1.3916872777314382</v>
      </c>
      <c r="S12" s="281">
        <f>IF(Амортизація!S30&gt;0,ОФР!S5/Амортизація!S30,0)</f>
        <v>1.7735167321090255</v>
      </c>
      <c r="T12" s="281">
        <f>IF(Амортизація!T30&gt;0,ОФР!T5/Амортизація!T30,0)</f>
        <v>1.8080852785823365</v>
      </c>
      <c r="U12" s="281">
        <f>IF(Амортизація!U30&gt;0,ОФР!U5/Амортизація!U30,0)</f>
        <v>1.8433276187580938</v>
      </c>
      <c r="V12" s="281">
        <f>IF(Амортизація!V30&gt;0,ОФР!V5/Амортизація!V30,0)</f>
        <v>1.8792568859033782</v>
      </c>
      <c r="W12" s="281">
        <f>IF(Амортизація!W30&gt;0,ОФР!W5/Амортизація!W30,0)</f>
        <v>1.5327091754181454</v>
      </c>
      <c r="X12" s="281">
        <f>IF(Амортизація!X30&gt;0,ОФР!X5/Амортизація!X30,0)</f>
        <v>1.9532300190974878</v>
      </c>
      <c r="Y12" s="281">
        <f>IF(Амортизація!Y30&gt;0,ОФР!Y5/Амортизація!Y30,0)</f>
        <v>1.9913014516731167</v>
      </c>
      <c r="Z12" s="281">
        <f>IF(Амортизація!Z30&gt;0,ОФР!Z5/Амортизація!Z30,0)</f>
        <v>2.0301149545447115</v>
      </c>
      <c r="AA12" s="281">
        <f>IF(Амортизація!AA30&gt;0,ОФР!AA5/Амортизація!AA30,0)</f>
        <v>4.1393699835886242</v>
      </c>
      <c r="AB12" s="281">
        <f>IF(Амортизація!AB30&gt;0,ОФР!AB5/Амортизація!AB30,0)</f>
        <v>3.1650394641464716</v>
      </c>
      <c r="AC12" s="281">
        <f>IF(Амортизація!AC30&gt;0,ОФР!AC5/Амортизація!AC30,0)</f>
        <v>2.1511539408859908</v>
      </c>
      <c r="AD12" s="281">
        <f>IF(Амортизація!AD30&gt;0,ОФР!AD5/Амортизація!AD30,0)</f>
        <v>1.7544665700921001</v>
      </c>
      <c r="AE12" s="281">
        <f>IF(Амортизація!AE30&gt;0,ОФР!AE5/Амортизація!AE30,0)</f>
        <v>2.2358297498101654</v>
      </c>
      <c r="AF12" s="281">
        <f>IF(Амортизація!AF30&gt;0,ОФР!AF5/Амортизація!AF30,0)</f>
        <v>2.2794094822217197</v>
      </c>
      <c r="AG12" s="281">
        <f>IF(Амортизація!AG30&gt;0,ОФР!AG5/Амортизація!AG30,0)</f>
        <v>2.3238386500955333</v>
      </c>
      <c r="AH12" s="281">
        <f>IF(Амортизація!AH30&gt;0,ОФР!AH5/Амортизація!AH30,0)</f>
        <v>2.3691338102245139</v>
      </c>
      <c r="AI12" s="281">
        <f>IF(Амортизація!AI30&gt;0,ОФР!AI5/Амортизація!AI30,0)</f>
        <v>1.9322494736949762</v>
      </c>
      <c r="AJ12" s="281">
        <f>IF(Амортизація!AJ30&gt;0,ОФР!AJ5/Амортизація!AJ30,0)</f>
        <v>2.4623899542956105</v>
      </c>
      <c r="AK12" s="281">
        <f>IF(Амортизація!AK30&gt;0,ОФР!AK5/Амортизація!AK30,0)</f>
        <v>2.5103856906928979</v>
      </c>
      <c r="AL12" s="281">
        <f>IF(Амортизація!AL30&gt;0,ОФР!AL5/Амортизація!AL30,0)</f>
        <v>2.5593169372064031</v>
      </c>
      <c r="AM12" s="281">
        <f>IF(Амортизація!AM30&gt;0,ОФР!AM5/Амортизація!AM30,0)</f>
        <v>5.2184038567106832</v>
      </c>
      <c r="AN12" s="281">
        <f>IF(Амортизація!AN30&gt;0,ОФР!AN5/Амортизація!AN30,0)</f>
        <v>3.9900888811162822</v>
      </c>
      <c r="AO12" s="281">
        <f>IF(Амортизація!AO30&gt;0,ОФР!AO5/Амортизація!AO30,0)</f>
        <v>2.7119078666569978</v>
      </c>
      <c r="AP12" s="281">
        <f>IF(Амортизація!AP30&gt;0,ОФР!AP5/Амортизація!AP30,0)</f>
        <v>2.2118136702294029</v>
      </c>
      <c r="AQ12" s="281">
        <f>IF(Амортизація!AQ30&gt;0,ОФР!AQ5/Амортизація!AQ30,0)</f>
        <v>2.8186566157690369</v>
      </c>
      <c r="AR12" s="281">
        <f>IF(Амортизація!AR30&gt;0,ОФР!AR5/Амортизація!AR30,0)</f>
        <v>2.8735965328560602</v>
      </c>
      <c r="AS12" s="281">
        <f>IF(Амортизація!AS30&gt;0,ОФР!AS5/Амортизація!AS30,0)</f>
        <v>2.9296073127337632</v>
      </c>
      <c r="AT12" s="281">
        <f>IF(Амортизація!AT30&gt;0,ОФР!AT5/Амортизація!AT30,0)</f>
        <v>2.9867098281514548</v>
      </c>
      <c r="AU12" s="281">
        <f>IF(Амортизація!AU30&gt;0,ОФР!AU5/Амортизація!AU30,0)</f>
        <v>2.4359402869601352</v>
      </c>
      <c r="AV12" s="281">
        <f>IF(Амортизація!AV30&gt;0,ОФР!AV5/Амортизація!AV30,0)</f>
        <v>3.10427559874263</v>
      </c>
      <c r="AW12" s="281">
        <f>IF(Амортизація!AW30&gt;0,ОФР!AW5/Амортизація!AW30,0)</f>
        <v>3.1647826654977824</v>
      </c>
      <c r="AX12" s="281">
        <f>IF(Амортизація!AX30&gt;0,ОФР!AX5/Амортизація!AX30,0)</f>
        <v>3.226469107282909</v>
      </c>
      <c r="AY12" s="281">
        <f>IF(Амортизація!AY30&gt;0,ОФР!AY5/Амортизація!AY30,0)</f>
        <v>6.5787158238327788</v>
      </c>
      <c r="AZ12" s="281">
        <f>IF(Амортизація!AZ30&gt;0,ОФР!AZ5/Амортизація!AZ30,0)</f>
        <v>5.0302087729263754</v>
      </c>
      <c r="BA12" s="281">
        <f>IF(Амортизація!BA30&gt;0,ОФР!BA5/Амортизація!BA30,0)</f>
        <v>3.4188368100736892</v>
      </c>
      <c r="BB12" s="281">
        <f>IF(Амортизація!BB30&gt;0,ОФР!BB5/Амортизація!BB30,0)</f>
        <v>2.7883801237414563</v>
      </c>
      <c r="BC12" s="281">
        <f>IF(Амортизація!BC30&gt;0,ОФР!BC5/Амортизація!BC30,0)</f>
        <v>3.553412382267978</v>
      </c>
      <c r="BD12" s="281">
        <f>IF(Амортизація!BD30&gt;0,ОФР!BD5/Амортизація!BD30,0)</f>
        <v>3.6226738100579472</v>
      </c>
      <c r="BE12" s="281">
        <f>IF(Амортизація!BE30&gt;0,ОФР!BE5/Амортизація!BE30,0)</f>
        <v>3.6932852487285692</v>
      </c>
      <c r="BF12" s="281">
        <f>IF(Амортизація!BF30&gt;0,ОФР!BF5/Амортизація!BF30,0)</f>
        <v>3.7652730120512441</v>
      </c>
      <c r="BG12" s="281">
        <f>IF(Амортизація!BG30&gt;0,ОФР!BG5/Амортизація!BG30,0)</f>
        <v>3.0709311413543361</v>
      </c>
      <c r="BH12" s="281">
        <f>IF(Амортизація!BH30&gt;0,ОФР!BH5/Амортизація!BH30,0)</f>
        <v>3.9134853422132054</v>
      </c>
      <c r="BI12" s="281">
        <f>IF(Амортизація!BI30&gt;0,ОФР!BI5/Амортизація!BI30,0)</f>
        <v>3.9897651412563442</v>
      </c>
      <c r="BJ12" s="281">
        <f>IF(Амортизація!BJ30&gt;0,ОФР!BJ5/Амортизація!BJ30,0)</f>
        <v>4.0675317499418489</v>
      </c>
    </row>
    <row r="13" spans="1:62" ht="12" customHeight="1">
      <c r="A13" s="119"/>
      <c r="B13" s="152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</row>
    <row r="14" spans="1:62" ht="12" customHeight="1">
      <c r="A14" s="119"/>
      <c r="B14" s="152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</row>
    <row r="15" spans="1:62" ht="26">
      <c r="A15" s="83" t="s">
        <v>18</v>
      </c>
      <c r="B15" s="84" t="str">
        <f>B5</f>
        <v>Середні значення за проєктом</v>
      </c>
      <c r="C15" s="90">
        <f t="shared" ref="C15:AL15" si="2">C5</f>
        <v>44562</v>
      </c>
      <c r="D15" s="90">
        <f t="shared" si="2"/>
        <v>44593</v>
      </c>
      <c r="E15" s="90">
        <f t="shared" si="2"/>
        <v>44621</v>
      </c>
      <c r="F15" s="90">
        <f t="shared" si="2"/>
        <v>44652</v>
      </c>
      <c r="G15" s="90">
        <f t="shared" si="2"/>
        <v>44682</v>
      </c>
      <c r="H15" s="90">
        <f t="shared" si="2"/>
        <v>44713</v>
      </c>
      <c r="I15" s="90">
        <f t="shared" si="2"/>
        <v>44743</v>
      </c>
      <c r="J15" s="90">
        <f t="shared" si="2"/>
        <v>44774</v>
      </c>
      <c r="K15" s="90">
        <f t="shared" si="2"/>
        <v>44805</v>
      </c>
      <c r="L15" s="90">
        <f t="shared" si="2"/>
        <v>44835</v>
      </c>
      <c r="M15" s="90">
        <f t="shared" si="2"/>
        <v>44866</v>
      </c>
      <c r="N15" s="90">
        <f t="shared" si="2"/>
        <v>44896</v>
      </c>
      <c r="O15" s="90">
        <f t="shared" si="2"/>
        <v>44927</v>
      </c>
      <c r="P15" s="90">
        <f t="shared" si="2"/>
        <v>44958</v>
      </c>
      <c r="Q15" s="90">
        <f t="shared" si="2"/>
        <v>44986</v>
      </c>
      <c r="R15" s="90">
        <f t="shared" si="2"/>
        <v>45017</v>
      </c>
      <c r="S15" s="90">
        <f t="shared" si="2"/>
        <v>45047</v>
      </c>
      <c r="T15" s="90">
        <f t="shared" si="2"/>
        <v>45078</v>
      </c>
      <c r="U15" s="90">
        <f t="shared" si="2"/>
        <v>45108</v>
      </c>
      <c r="V15" s="90">
        <f t="shared" si="2"/>
        <v>45139</v>
      </c>
      <c r="W15" s="90">
        <f t="shared" si="2"/>
        <v>45170</v>
      </c>
      <c r="X15" s="90">
        <f t="shared" si="2"/>
        <v>45200</v>
      </c>
      <c r="Y15" s="90">
        <f t="shared" si="2"/>
        <v>45231</v>
      </c>
      <c r="Z15" s="90">
        <f t="shared" si="2"/>
        <v>45261</v>
      </c>
      <c r="AA15" s="90">
        <f t="shared" si="2"/>
        <v>45292</v>
      </c>
      <c r="AB15" s="90">
        <f t="shared" si="2"/>
        <v>45323</v>
      </c>
      <c r="AC15" s="90">
        <f t="shared" si="2"/>
        <v>45352</v>
      </c>
      <c r="AD15" s="90">
        <f t="shared" si="2"/>
        <v>45383</v>
      </c>
      <c r="AE15" s="90">
        <f t="shared" si="2"/>
        <v>45413</v>
      </c>
      <c r="AF15" s="90">
        <f t="shared" si="2"/>
        <v>45444</v>
      </c>
      <c r="AG15" s="90">
        <f t="shared" si="2"/>
        <v>45474</v>
      </c>
      <c r="AH15" s="90">
        <f t="shared" si="2"/>
        <v>45505</v>
      </c>
      <c r="AI15" s="90">
        <f t="shared" si="2"/>
        <v>45536</v>
      </c>
      <c r="AJ15" s="90">
        <f t="shared" si="2"/>
        <v>45566</v>
      </c>
      <c r="AK15" s="90">
        <f t="shared" si="2"/>
        <v>45597</v>
      </c>
      <c r="AL15" s="90">
        <f t="shared" si="2"/>
        <v>45627</v>
      </c>
      <c r="AM15" s="98">
        <f t="shared" ref="AM15:BJ15" si="3">AM5</f>
        <v>45658</v>
      </c>
      <c r="AN15" s="98">
        <f t="shared" si="3"/>
        <v>45689</v>
      </c>
      <c r="AO15" s="98">
        <f t="shared" si="3"/>
        <v>45717</v>
      </c>
      <c r="AP15" s="98">
        <f t="shared" si="3"/>
        <v>45748</v>
      </c>
      <c r="AQ15" s="98">
        <f t="shared" si="3"/>
        <v>45778</v>
      </c>
      <c r="AR15" s="98">
        <f t="shared" si="3"/>
        <v>45809</v>
      </c>
      <c r="AS15" s="98">
        <f t="shared" si="3"/>
        <v>45839</v>
      </c>
      <c r="AT15" s="98">
        <f t="shared" si="3"/>
        <v>45870</v>
      </c>
      <c r="AU15" s="98">
        <f t="shared" si="3"/>
        <v>45901</v>
      </c>
      <c r="AV15" s="98">
        <f t="shared" si="3"/>
        <v>45931</v>
      </c>
      <c r="AW15" s="98">
        <f t="shared" si="3"/>
        <v>45962</v>
      </c>
      <c r="AX15" s="98">
        <f t="shared" si="3"/>
        <v>45992</v>
      </c>
      <c r="AY15" s="98">
        <f t="shared" si="3"/>
        <v>46023</v>
      </c>
      <c r="AZ15" s="98">
        <f t="shared" si="3"/>
        <v>46054</v>
      </c>
      <c r="BA15" s="98">
        <f t="shared" si="3"/>
        <v>46082</v>
      </c>
      <c r="BB15" s="98">
        <f t="shared" si="3"/>
        <v>46113</v>
      </c>
      <c r="BC15" s="98">
        <f t="shared" si="3"/>
        <v>46143</v>
      </c>
      <c r="BD15" s="98">
        <f t="shared" si="3"/>
        <v>46174</v>
      </c>
      <c r="BE15" s="98">
        <f t="shared" si="3"/>
        <v>46204</v>
      </c>
      <c r="BF15" s="98">
        <f t="shared" si="3"/>
        <v>46235</v>
      </c>
      <c r="BG15" s="98">
        <f t="shared" si="3"/>
        <v>46266</v>
      </c>
      <c r="BH15" s="98">
        <f t="shared" si="3"/>
        <v>46296</v>
      </c>
      <c r="BI15" s="98">
        <f t="shared" si="3"/>
        <v>46327</v>
      </c>
      <c r="BJ15" s="98">
        <f t="shared" si="3"/>
        <v>46357</v>
      </c>
    </row>
    <row r="16" spans="1:62">
      <c r="A16" s="19" t="s">
        <v>182</v>
      </c>
      <c r="B16" s="114">
        <f>AVERAGE(C16:BJ16)</f>
        <v>904677.80503695994</v>
      </c>
      <c r="C16" s="100">
        <f>ОФР!C5</f>
        <v>1540558.22</v>
      </c>
      <c r="D16" s="100">
        <f>ОФР!D5</f>
        <v>1158307.2116624999</v>
      </c>
      <c r="E16" s="100">
        <f>ОФР!E5</f>
        <v>774135.31979443762</v>
      </c>
      <c r="F16" s="100">
        <f>ОФР!F5</f>
        <v>620856.52647513885</v>
      </c>
      <c r="G16" s="100">
        <f>ОФР!G5</f>
        <v>778010.83473915816</v>
      </c>
      <c r="H16" s="100">
        <f>ОФР!H5</f>
        <v>779955.86182600609</v>
      </c>
      <c r="I16" s="100">
        <f>ОФР!I5</f>
        <v>781905.75148057123</v>
      </c>
      <c r="J16" s="100">
        <f>ОФР!J5</f>
        <v>783860.51585927256</v>
      </c>
      <c r="K16" s="100">
        <f>ОФР!K5</f>
        <v>628656.13371913671</v>
      </c>
      <c r="L16" s="100">
        <f>ОФР!L5</f>
        <v>787784.71756679309</v>
      </c>
      <c r="M16" s="100">
        <f>ОФР!M5</f>
        <v>789754.17936070997</v>
      </c>
      <c r="N16" s="100">
        <f>ОФР!N5</f>
        <v>791728.56480911165</v>
      </c>
      <c r="O16" s="100">
        <f>ОФР!O5</f>
        <v>1587415.7724422689</v>
      </c>
      <c r="P16" s="100">
        <f>ОФР!P5</f>
        <v>1193538.2339050306</v>
      </c>
      <c r="Q16" s="100">
        <f>ОФР!Q5</f>
        <v>797681.38632652874</v>
      </c>
      <c r="R16" s="100">
        <f>ОФР!R5</f>
        <v>639740.4718338761</v>
      </c>
      <c r="S16" s="100">
        <f>ОФР!S5</f>
        <v>801674.77876682591</v>
      </c>
      <c r="T16" s="100">
        <f>ОФР!T5</f>
        <v>803678.96571374277</v>
      </c>
      <c r="U16" s="100">
        <f>ОФР!U5</f>
        <v>805688.16312802711</v>
      </c>
      <c r="V16" s="100">
        <f>ОФР!V5</f>
        <v>807702.38353584707</v>
      </c>
      <c r="W16" s="100">
        <f>ОФР!W5</f>
        <v>647777.31159574946</v>
      </c>
      <c r="X16" s="100">
        <f>ОФР!X5</f>
        <v>811745.94359342335</v>
      </c>
      <c r="Y16" s="100">
        <f>ОФР!Y5</f>
        <v>813775.30845240678</v>
      </c>
      <c r="Z16" s="100">
        <f>ОФР!Z5</f>
        <v>815809.7467235378</v>
      </c>
      <c r="AA16" s="100">
        <f>ОФР!AA5</f>
        <v>1635698.5421806935</v>
      </c>
      <c r="AB16" s="100">
        <f>ОФР!AB5</f>
        <v>1229840.841402109</v>
      </c>
      <c r="AC16" s="100">
        <f>ОФР!AC5</f>
        <v>821943.62900374248</v>
      </c>
      <c r="AD16" s="100">
        <f>ОФР!AD5</f>
        <v>659198.79046100168</v>
      </c>
      <c r="AE16" s="100">
        <f>ОФР!AE5</f>
        <v>826058.48429644248</v>
      </c>
      <c r="AF16" s="100">
        <f>ОФР!AF5</f>
        <v>828123.63050718384</v>
      </c>
      <c r="AG16" s="100">
        <f>ОФР!AG5</f>
        <v>830193.93958345184</v>
      </c>
      <c r="AH16" s="100">
        <f>ОФР!AH5</f>
        <v>832269.42443241039</v>
      </c>
      <c r="AI16" s="100">
        <f>ОФР!AI5</f>
        <v>667480.07839479309</v>
      </c>
      <c r="AJ16" s="100">
        <f>ОФР!AJ5</f>
        <v>836435.97323847504</v>
      </c>
      <c r="AK16" s="100">
        <f>ОФР!AK5</f>
        <v>838527.06317157112</v>
      </c>
      <c r="AL16" s="100">
        <f>ОФР!AL5</f>
        <v>840623.38082950003</v>
      </c>
      <c r="AM16" s="100">
        <f>ОФР!AM5</f>
        <v>1685449.8785631475</v>
      </c>
      <c r="AN16" s="100">
        <f>ОФР!AN5</f>
        <v>1267247.6274446663</v>
      </c>
      <c r="AO16" s="100">
        <f>ОФР!AO5</f>
        <v>846943.83100885176</v>
      </c>
      <c r="AP16" s="100">
        <f>ОФР!AP5</f>
        <v>679248.9524690992</v>
      </c>
      <c r="AQ16" s="100">
        <f>ОФР!AQ5</f>
        <v>851183.84356283979</v>
      </c>
      <c r="AR16" s="100">
        <f>ОФР!AR5</f>
        <v>853311.80317174678</v>
      </c>
      <c r="AS16" s="100">
        <f>ОФР!AS5</f>
        <v>855445.08267967624</v>
      </c>
      <c r="AT16" s="100">
        <f>ОФР!AT5</f>
        <v>857583.6953863753</v>
      </c>
      <c r="AU16" s="100">
        <f>ОФР!AU5</f>
        <v>687782.12369987287</v>
      </c>
      <c r="AV16" s="100">
        <f>ОФР!AV5</f>
        <v>861876.97376140323</v>
      </c>
      <c r="AW16" s="100">
        <f>ОФР!AW5</f>
        <v>864031.66619580658</v>
      </c>
      <c r="AX16" s="100">
        <f>ОФР!AX5</f>
        <v>866191.74536129611</v>
      </c>
      <c r="AY16" s="100">
        <f>ОФР!AY5</f>
        <v>1736714.4494493986</v>
      </c>
      <c r="AZ16" s="100">
        <f>ОФР!AZ5</f>
        <v>1305792.1766797663</v>
      </c>
      <c r="BA16" s="100">
        <f>ОФР!BA5</f>
        <v>872704.43808097718</v>
      </c>
      <c r="BB16" s="100">
        <f>ОФР!BB5</f>
        <v>699908.95934094372</v>
      </c>
      <c r="BC16" s="100">
        <f>ОФР!BC5</f>
        <v>877073.41467411991</v>
      </c>
      <c r="BD16" s="100">
        <f>ОФР!BD5</f>
        <v>879266.09821080521</v>
      </c>
      <c r="BE16" s="100">
        <f>ОФР!BE5</f>
        <v>881464.2634563325</v>
      </c>
      <c r="BF16" s="100">
        <f>ОФР!BF5</f>
        <v>883667.92411497317</v>
      </c>
      <c r="BG16" s="100">
        <f>ОФР!BG5</f>
        <v>708701.67514020833</v>
      </c>
      <c r="BH16" s="100">
        <f>ОФР!BH5</f>
        <v>888091.78666007356</v>
      </c>
      <c r="BI16" s="100">
        <f>ОФР!BI5</f>
        <v>890312.01612672373</v>
      </c>
      <c r="BJ16" s="100">
        <f>ОФР!BJ5</f>
        <v>892537.79616704048</v>
      </c>
    </row>
    <row r="17" spans="1:62">
      <c r="A17" s="19" t="s">
        <v>183</v>
      </c>
      <c r="B17" s="114">
        <f>AVERAGE(C17:BJ17)</f>
        <v>865029.34974911367</v>
      </c>
      <c r="C17" s="100">
        <f>ОФР!C6</f>
        <v>1257366.29</v>
      </c>
      <c r="D17" s="100">
        <f>ОФР!D6</f>
        <v>1013818.3327624999</v>
      </c>
      <c r="E17" s="100">
        <f>ОФР!E6</f>
        <v>770554.03881293756</v>
      </c>
      <c r="F17" s="100">
        <f>ОФР!F6</f>
        <v>673495.2528279759</v>
      </c>
      <c r="G17" s="100">
        <f>ОФР!G6</f>
        <v>773008.08198130724</v>
      </c>
      <c r="H17" s="100">
        <f>ОФР!H6</f>
        <v>774239.70681126055</v>
      </c>
      <c r="I17" s="100">
        <f>ОФР!I6</f>
        <v>775474.41070328874</v>
      </c>
      <c r="J17" s="100">
        <f>ОФР!J6</f>
        <v>776712.20135504683</v>
      </c>
      <c r="K17" s="100">
        <f>ОФР!K6</f>
        <v>678434.09918674757</v>
      </c>
      <c r="L17" s="100">
        <f>ОФР!L6</f>
        <v>779197.07382464292</v>
      </c>
      <c r="M17" s="100">
        <f>ОФР!M6</f>
        <v>780444.17113420437</v>
      </c>
      <c r="N17" s="100">
        <f>ОФР!N6</f>
        <v>781694.38618704001</v>
      </c>
      <c r="O17" s="100">
        <f>ОФР!O6</f>
        <v>1287181.6035550151</v>
      </c>
      <c r="P17" s="100">
        <f>ОФР!P6</f>
        <v>1037771.5260791769</v>
      </c>
      <c r="Q17" s="100">
        <f>ОФР!Q6</f>
        <v>787108.11584624986</v>
      </c>
      <c r="R17" s="100">
        <f>ОФР!R6</f>
        <v>687097.1940086924</v>
      </c>
      <c r="S17" s="100">
        <f>ОФР!S6</f>
        <v>789636.8010858926</v>
      </c>
      <c r="T17" s="100">
        <f>ОФР!T6</f>
        <v>790905.88696360728</v>
      </c>
      <c r="U17" s="100">
        <f>ОФР!U6</f>
        <v>792178.14555601624</v>
      </c>
      <c r="V17" s="100">
        <f>ОФР!V6</f>
        <v>793453.58479490632</v>
      </c>
      <c r="W17" s="100">
        <f>ОФР!W6</f>
        <v>692186.2601055149</v>
      </c>
      <c r="X17" s="100">
        <f>ОФР!X6</f>
        <v>796014.03703847318</v>
      </c>
      <c r="Y17" s="100">
        <f>ОФР!Y6</f>
        <v>797299.0660060693</v>
      </c>
      <c r="Z17" s="100">
        <f>ОФР!Z6</f>
        <v>798587.30754608451</v>
      </c>
      <c r="AA17" s="100">
        <f>ОФР!AA6</f>
        <v>1326497.7253798994</v>
      </c>
      <c r="AB17" s="100">
        <f>ОФР!AB6</f>
        <v>1069501.6017337618</v>
      </c>
      <c r="AC17" s="100">
        <f>ОФР!AC6</f>
        <v>811214.02401539753</v>
      </c>
      <c r="AD17" s="100">
        <f>ОФР!AD6</f>
        <v>708161.17428834888</v>
      </c>
      <c r="AE17" s="100">
        <f>ОФР!AE6</f>
        <v>813819.62163633713</v>
      </c>
      <c r="AF17" s="100">
        <f>ОФР!AF6</f>
        <v>815127.30797542783</v>
      </c>
      <c r="AG17" s="100">
        <f>ОФР!AG6</f>
        <v>816438.26353036647</v>
      </c>
      <c r="AH17" s="100">
        <f>ОФР!AH6</f>
        <v>817752.49647419248</v>
      </c>
      <c r="AI17" s="100">
        <f>ОФР!AI6</f>
        <v>713405.0292003022</v>
      </c>
      <c r="AJ17" s="100">
        <f>ОФР!AJ6</f>
        <v>820390.82732287887</v>
      </c>
      <c r="AK17" s="100">
        <f>ОФР!AK6</f>
        <v>821714.94167618593</v>
      </c>
      <c r="AL17" s="100">
        <f>ОФР!AL6</f>
        <v>823042.36631537636</v>
      </c>
      <c r="AM17" s="100">
        <f>ОФР!AM6</f>
        <v>1366588.6458123294</v>
      </c>
      <c r="AN17" s="100">
        <f>ОФР!AN6</f>
        <v>1101775.7391424326</v>
      </c>
      <c r="AO17" s="100">
        <f>ОФР!AO6</f>
        <v>835632.09758889244</v>
      </c>
      <c r="AP17" s="100">
        <f>ОФР!AP6</f>
        <v>729444.79682473163</v>
      </c>
      <c r="AQ17" s="100">
        <f>ОФР!AQ6</f>
        <v>838316.94695480436</v>
      </c>
      <c r="AR17" s="100">
        <f>ОФР!AR6</f>
        <v>839664.40782524133</v>
      </c>
      <c r="AS17" s="100">
        <f>ОФР!AS6</f>
        <v>841015.23734785442</v>
      </c>
      <c r="AT17" s="100">
        <f>ОФР!AT6</f>
        <v>842369.44394427398</v>
      </c>
      <c r="AU17" s="100">
        <f>ОФР!AU6</f>
        <v>734848.14860174758</v>
      </c>
      <c r="AV17" s="100">
        <f>ОФР!AV6</f>
        <v>845088.02215037763</v>
      </c>
      <c r="AW17" s="100">
        <f>ОФР!AW6</f>
        <v>846452.41070880345</v>
      </c>
      <c r="AX17" s="100">
        <f>ОФР!AX6</f>
        <v>847820.21023862541</v>
      </c>
      <c r="AY17" s="100">
        <f>ОФР!AY6</f>
        <v>1408012.8707419438</v>
      </c>
      <c r="AZ17" s="100">
        <f>ОФР!AZ6</f>
        <v>1135145.4261126351</v>
      </c>
      <c r="BA17" s="100">
        <f>ОФР!BA6</f>
        <v>860906.77102479886</v>
      </c>
      <c r="BB17" s="100">
        <f>ОФР!BB6</f>
        <v>751489.6818958337</v>
      </c>
      <c r="BC17" s="100">
        <f>ОФР!BC6</f>
        <v>863673.28265334351</v>
      </c>
      <c r="BD17" s="100">
        <f>ОФР!BD6</f>
        <v>865061.72783555847</v>
      </c>
      <c r="BE17" s="100">
        <f>ОФР!BE6</f>
        <v>866453.64413072879</v>
      </c>
      <c r="BF17" s="100">
        <f>ОФР!BF6</f>
        <v>867849.04021663719</v>
      </c>
      <c r="BG17" s="100">
        <f>ОФР!BG6</f>
        <v>757057.38178768824</v>
      </c>
      <c r="BH17" s="100">
        <f>ОФР!BH6</f>
        <v>870650.30658032361</v>
      </c>
      <c r="BI17" s="100">
        <f>ОФР!BI6</f>
        <v>872056.19432235591</v>
      </c>
      <c r="BJ17" s="100">
        <f>ОФР!BJ6</f>
        <v>873465.59678374324</v>
      </c>
    </row>
    <row r="18" spans="1:62">
      <c r="A18" s="19" t="s">
        <v>184</v>
      </c>
      <c r="B18" s="114">
        <f>AVERAGE(C18:BJ18)</f>
        <v>39648.455287846504</v>
      </c>
      <c r="C18" s="100">
        <f>ОФР!C10</f>
        <v>283191.92999999993</v>
      </c>
      <c r="D18" s="100">
        <f>ОФР!D10</f>
        <v>144488.87890000001</v>
      </c>
      <c r="E18" s="100">
        <f>ОФР!E10</f>
        <v>3581.280981500051</v>
      </c>
      <c r="F18" s="100">
        <f>ОФР!F10</f>
        <v>-52638.726352837053</v>
      </c>
      <c r="G18" s="100">
        <f>ОФР!G10</f>
        <v>5002.752757850918</v>
      </c>
      <c r="H18" s="100">
        <f>ОФР!H10</f>
        <v>5716.1550147455418</v>
      </c>
      <c r="I18" s="100">
        <f>ОФР!I10</f>
        <v>6431.3407772824867</v>
      </c>
      <c r="J18" s="100">
        <f>ОФР!J10</f>
        <v>7148.3145042257383</v>
      </c>
      <c r="K18" s="100">
        <f>ОФР!K10</f>
        <v>-49777.965467610862</v>
      </c>
      <c r="L18" s="100">
        <f>ОФР!L10</f>
        <v>8587.6437421501614</v>
      </c>
      <c r="M18" s="100">
        <f>ОФР!M10</f>
        <v>9310.0082265055971</v>
      </c>
      <c r="N18" s="100">
        <f>ОФР!N10</f>
        <v>10034.178622071631</v>
      </c>
      <c r="O18" s="100">
        <f>ОФР!O10</f>
        <v>300234.16888725385</v>
      </c>
      <c r="P18" s="100">
        <f>ОФР!P10</f>
        <v>155766.70782585372</v>
      </c>
      <c r="Q18" s="100">
        <f>ОФР!Q10</f>
        <v>10573.270480278879</v>
      </c>
      <c r="R18" s="100">
        <f>ОФР!R10</f>
        <v>-47356.722174816299</v>
      </c>
      <c r="S18" s="100">
        <f>ОФР!S10</f>
        <v>12037.977680933313</v>
      </c>
      <c r="T18" s="100">
        <f>ОФР!T10</f>
        <v>12773.078750135493</v>
      </c>
      <c r="U18" s="100">
        <f>ОФР!U10</f>
        <v>13510.017572010867</v>
      </c>
      <c r="V18" s="100">
        <f>ОФР!V10</f>
        <v>14248.798740940751</v>
      </c>
      <c r="W18" s="100">
        <f>ОФР!W10</f>
        <v>-44408.94850976544</v>
      </c>
      <c r="X18" s="100">
        <f>ОФР!X10</f>
        <v>15731.906554950168</v>
      </c>
      <c r="Y18" s="100">
        <f>ОФР!Y10</f>
        <v>16476.242446337477</v>
      </c>
      <c r="Z18" s="100">
        <f>ОФР!Z10</f>
        <v>17222.439177453285</v>
      </c>
      <c r="AA18" s="100">
        <f>ОФР!AA10</f>
        <v>309200.8168007941</v>
      </c>
      <c r="AB18" s="100">
        <f>ОФР!AB10</f>
        <v>160339.23966834717</v>
      </c>
      <c r="AC18" s="100">
        <f>ОФР!AC10</f>
        <v>10729.604988344945</v>
      </c>
      <c r="AD18" s="100">
        <f>ОФР!AD10</f>
        <v>-48962.383827347192</v>
      </c>
      <c r="AE18" s="100">
        <f>ОФР!AE10</f>
        <v>12238.86266010534</v>
      </c>
      <c r="AF18" s="100">
        <f>ОФР!AF10</f>
        <v>12996.322531756014</v>
      </c>
      <c r="AG18" s="100">
        <f>ОФР!AG10</f>
        <v>13755.676053085364</v>
      </c>
      <c r="AH18" s="100">
        <f>ОФР!AH10</f>
        <v>14516.927958217915</v>
      </c>
      <c r="AI18" s="100">
        <f>ОФР!AI10</f>
        <v>-45924.950805509114</v>
      </c>
      <c r="AJ18" s="100">
        <f>ОФР!AJ10</f>
        <v>16045.145915596164</v>
      </c>
      <c r="AK18" s="100">
        <f>ОФР!AK10</f>
        <v>16812.121495385189</v>
      </c>
      <c r="AL18" s="100">
        <f>ОФР!AL10</f>
        <v>17581.014514123672</v>
      </c>
      <c r="AM18" s="100">
        <f>ОФР!AM10</f>
        <v>318861.23275081813</v>
      </c>
      <c r="AN18" s="100">
        <f>ОФР!AN10</f>
        <v>165471.88830223377</v>
      </c>
      <c r="AO18" s="100">
        <f>ОФР!AO10</f>
        <v>11311.733419959317</v>
      </c>
      <c r="AP18" s="100">
        <f>ОФР!AP10</f>
        <v>-50195.844355632435</v>
      </c>
      <c r="AQ18" s="100">
        <f>ОФР!AQ10</f>
        <v>12866.896608035429</v>
      </c>
      <c r="AR18" s="100">
        <f>ОФР!AR10</f>
        <v>13647.395346505451</v>
      </c>
      <c r="AS18" s="100">
        <f>ОФР!AS10</f>
        <v>14429.845331821823</v>
      </c>
      <c r="AT18" s="100">
        <f>ОФР!AT10</f>
        <v>15214.251442101318</v>
      </c>
      <c r="AU18" s="100">
        <f>ОФР!AU10</f>
        <v>-47066.024901874713</v>
      </c>
      <c r="AV18" s="100">
        <f>ОФР!AV10</f>
        <v>16788.951611025608</v>
      </c>
      <c r="AW18" s="100">
        <f>ОФР!AW10</f>
        <v>17579.255487003131</v>
      </c>
      <c r="AX18" s="100">
        <f>ОФР!AX10</f>
        <v>18371.535122670699</v>
      </c>
      <c r="AY18" s="100">
        <f>ОФР!AY10</f>
        <v>328701.57870745473</v>
      </c>
      <c r="AZ18" s="100">
        <f>ОФР!AZ10</f>
        <v>170646.75056713121</v>
      </c>
      <c r="BA18" s="100">
        <f>ОФР!BA10</f>
        <v>11797.667056178325</v>
      </c>
      <c r="BB18" s="100">
        <f>ОФР!BB10</f>
        <v>-51580.722554889973</v>
      </c>
      <c r="BC18" s="100">
        <f>ОФР!BC10</f>
        <v>13400.132020776393</v>
      </c>
      <c r="BD18" s="100">
        <f>ОФР!BD10</f>
        <v>14204.370375246741</v>
      </c>
      <c r="BE18" s="100">
        <f>ОФР!BE10</f>
        <v>15010.619325603708</v>
      </c>
      <c r="BF18" s="100">
        <f>ОФР!BF10</f>
        <v>15818.883898335975</v>
      </c>
      <c r="BG18" s="100">
        <f>ОФР!BG10</f>
        <v>-48355.706647479907</v>
      </c>
      <c r="BH18" s="100">
        <f>ОФР!BH10</f>
        <v>17441.480079749948</v>
      </c>
      <c r="BI18" s="100">
        <f>ОФР!BI10</f>
        <v>18255.821804367821</v>
      </c>
      <c r="BJ18" s="100">
        <f>ОФР!BJ10</f>
        <v>19072.199383297237</v>
      </c>
    </row>
    <row r="19" spans="1:62">
      <c r="A19" s="19" t="s">
        <v>185</v>
      </c>
      <c r="B19" s="114">
        <f>AVERAGE(C19:BJ19)</f>
        <v>18212.865528449431</v>
      </c>
      <c r="C19" s="100">
        <f>ОФР!C15</f>
        <v>223467.65459999995</v>
      </c>
      <c r="D19" s="100">
        <f>ОФР!D15</f>
        <v>102190.76069800001</v>
      </c>
      <c r="E19" s="100">
        <f>ОФР!E15</f>
        <v>-16106.91901849995</v>
      </c>
      <c r="F19" s="100">
        <f>ОФР!F15</f>
        <v>-72149.026352837056</v>
      </c>
      <c r="G19" s="100">
        <f>ОФР!G15</f>
        <v>-14329.747242149082</v>
      </c>
      <c r="H19" s="100">
        <f>ОФР!H15</f>
        <v>-13438.544985254459</v>
      </c>
      <c r="I19" s="100">
        <f>ОФР!I15</f>
        <v>-12545.459222717513</v>
      </c>
      <c r="J19" s="100">
        <f>ОФР!J15</f>
        <v>-11650.685495774262</v>
      </c>
      <c r="K19" s="100">
        <f>ОФР!K15</f>
        <v>-68399.165467610859</v>
      </c>
      <c r="L19" s="100">
        <f>ОФР!L15</f>
        <v>-9855.6562578498379</v>
      </c>
      <c r="M19" s="100">
        <f>ОФР!M15</f>
        <v>-8955.4917734944029</v>
      </c>
      <c r="N19" s="100">
        <f>ОФР!N15</f>
        <v>-8053.4213779283691</v>
      </c>
      <c r="O19" s="100">
        <f>ОФР!O15</f>
        <v>231505.98248754817</v>
      </c>
      <c r="P19" s="100">
        <f>ОФР!P15</f>
        <v>113188.46041720005</v>
      </c>
      <c r="Q19" s="100">
        <f>ОФР!Q15</f>
        <v>-6980.829519721121</v>
      </c>
      <c r="R19" s="100">
        <f>ОФР!R15</f>
        <v>-64733.022174816302</v>
      </c>
      <c r="S19" s="100">
        <f>ОФР!S15</f>
        <v>-5160.4223190666871</v>
      </c>
      <c r="T19" s="100">
        <f>ОФР!T15</f>
        <v>-4247.5212498645069</v>
      </c>
      <c r="U19" s="100">
        <f>ОФР!U15</f>
        <v>-3332.7824279891329</v>
      </c>
      <c r="V19" s="100">
        <f>ОФР!V15</f>
        <v>-2416.1012590592491</v>
      </c>
      <c r="W19" s="100">
        <f>ОФР!W15</f>
        <v>-60896.048509765438</v>
      </c>
      <c r="X19" s="100">
        <f>ОФР!X15</f>
        <v>-577.39344504983183</v>
      </c>
      <c r="Y19" s="100">
        <f>ОФР!Y15</f>
        <v>282.77080599673172</v>
      </c>
      <c r="Z19" s="100">
        <f>ОФР!Z15</f>
        <v>1040.4481255116934</v>
      </c>
      <c r="AA19" s="100">
        <f>ОФР!AA15</f>
        <v>240608.59577665117</v>
      </c>
      <c r="AB19" s="100">
        <f>ОФР!AB15</f>
        <v>118687.89852804469</v>
      </c>
      <c r="AC19" s="100">
        <f>ОФР!AC15</f>
        <v>-4690.4950116550554</v>
      </c>
      <c r="AD19" s="100">
        <f>ОФР!AD15</f>
        <v>-64204.583827347189</v>
      </c>
      <c r="AE19" s="100">
        <f>ОФР!AE15</f>
        <v>-2825.5373398946595</v>
      </c>
      <c r="AF19" s="100">
        <f>ОФР!AF15</f>
        <v>-1890.1774682439864</v>
      </c>
      <c r="AG19" s="100">
        <f>ОФР!AG15</f>
        <v>-953.02394691463542</v>
      </c>
      <c r="AH19" s="100">
        <f>ОФР!AH15</f>
        <v>-13.972041782084489</v>
      </c>
      <c r="AI19" s="100">
        <f>ОФР!AI15</f>
        <v>-60277.950805509114</v>
      </c>
      <c r="AJ19" s="100">
        <f>ОФР!AJ15</f>
        <v>1533.3556507888543</v>
      </c>
      <c r="AK19" s="100">
        <f>ОФР!AK15</f>
        <v>2308.0716262158548</v>
      </c>
      <c r="AL19" s="100">
        <f>ОФР!AL15</f>
        <v>3084.4419015814092</v>
      </c>
      <c r="AM19" s="100">
        <f>ОФР!AM15</f>
        <v>250280.01685567084</v>
      </c>
      <c r="AN19" s="100">
        <f>ОФР!AN15</f>
        <v>124646.63240783168</v>
      </c>
      <c r="AO19" s="100">
        <f>ОФР!AO15</f>
        <v>-1974.266580040683</v>
      </c>
      <c r="AP19" s="100">
        <f>ОФР!AP15</f>
        <v>-63304.044355632432</v>
      </c>
      <c r="AQ19" s="100">
        <f>ОФР!AQ15</f>
        <v>-63.403391964570801</v>
      </c>
      <c r="AR19" s="100">
        <f>ОФР!AR15</f>
        <v>733.81418413446954</v>
      </c>
      <c r="AS19" s="100">
        <f>ОФР!AS15</f>
        <v>1521.3011720938962</v>
      </c>
      <c r="AT19" s="100">
        <f>ОФР!AT15</f>
        <v>2310.3101825230815</v>
      </c>
      <c r="AU19" s="100">
        <f>ОФР!AU15</f>
        <v>-59285.024901874713</v>
      </c>
      <c r="AV19" s="100">
        <f>ОФР!AV15</f>
        <v>3893.2383210409994</v>
      </c>
      <c r="AW19" s="100">
        <f>ОФР!AW15</f>
        <v>4687.083499342566</v>
      </c>
      <c r="AX19" s="100">
        <f>ОФР!AX15</f>
        <v>5482.5488005899715</v>
      </c>
      <c r="AY19" s="100">
        <f>ОФР!AY15</f>
        <v>260099.06254011285</v>
      </c>
      <c r="AZ19" s="100">
        <f>ОФР!AZ15</f>
        <v>130639.89946504759</v>
      </c>
      <c r="BA19" s="100">
        <f>ОФР!BA15</f>
        <v>529.52898606622648</v>
      </c>
      <c r="BB19" s="100">
        <f>ОФР!BB15</f>
        <v>-62554.822554889972</v>
      </c>
      <c r="BC19" s="100">
        <f>ОФР!BC15</f>
        <v>2135.1422570366421</v>
      </c>
      <c r="BD19" s="100">
        <f>ОФР!BD15</f>
        <v>2940.4957077023278</v>
      </c>
      <c r="BE19" s="100">
        <f>ОФР!BE15</f>
        <v>3747.4158469950403</v>
      </c>
      <c r="BF19" s="100">
        <f>ОФР!BF15</f>
        <v>4556.0707966354994</v>
      </c>
      <c r="BG19" s="100">
        <f>ОФР!BG15</f>
        <v>-58440.606647479908</v>
      </c>
      <c r="BH19" s="100">
        <f>ОФР!BH15</f>
        <v>6178.1916653949575</v>
      </c>
      <c r="BI19" s="100">
        <f>ОФР!BI15</f>
        <v>6991.8298795816127</v>
      </c>
      <c r="BJ19" s="100">
        <f>ОФР!BJ15</f>
        <v>7807.0554943037332</v>
      </c>
    </row>
    <row r="20" spans="1:62">
      <c r="A20" s="19" t="s">
        <v>186</v>
      </c>
      <c r="B20" s="114">
        <f>AVERAGE(C20:BJ20)</f>
        <v>18387.784641227205</v>
      </c>
      <c r="C20" s="100">
        <f>ОДДС!C37</f>
        <v>645402.13469999982</v>
      </c>
      <c r="D20" s="100">
        <f>ОДДС!D37</f>
        <v>103052.09403133322</v>
      </c>
      <c r="E20" s="100">
        <f>ОДДС!E37</f>
        <v>-15245.58568516653</v>
      </c>
      <c r="F20" s="100">
        <f>ОДДС!F37</f>
        <v>-71287.693019503728</v>
      </c>
      <c r="G20" s="100">
        <f>ОДДС!G37</f>
        <v>-13468.41390881571</v>
      </c>
      <c r="H20" s="100">
        <f>ОДДС!H37</f>
        <v>-12577.211651921039</v>
      </c>
      <c r="I20" s="100">
        <f>ОДДС!I37</f>
        <v>-20244.45922271756</v>
      </c>
      <c r="J20" s="100">
        <f>ОДДС!J37</f>
        <v>-19349.685495774262</v>
      </c>
      <c r="K20" s="100">
        <f>ОДДС!K37</f>
        <v>-76098.165467610816</v>
      </c>
      <c r="L20" s="100">
        <f>ОДДС!L37</f>
        <v>-17554.656257849885</v>
      </c>
      <c r="M20" s="100">
        <f>ОДДС!M37</f>
        <v>-16654.491773494403</v>
      </c>
      <c r="N20" s="100">
        <f>ОДДС!N37</f>
        <v>-15752.421377928345</v>
      </c>
      <c r="O20" s="100">
        <f>ОДДС!O37</f>
        <v>223806.98248754814</v>
      </c>
      <c r="P20" s="100">
        <f>ОДДС!P37</f>
        <v>105489.46041720011</v>
      </c>
      <c r="Q20" s="100">
        <f>ОДДС!Q37</f>
        <v>-14679.829519721097</v>
      </c>
      <c r="R20" s="100">
        <f>ОДДС!R37</f>
        <v>-72432.022174816346</v>
      </c>
      <c r="S20" s="100">
        <f>ОДДС!S37</f>
        <v>-12859.422319066711</v>
      </c>
      <c r="T20" s="100">
        <f>ОДДС!T37</f>
        <v>-11946.521249864483</v>
      </c>
      <c r="U20" s="100">
        <f>ОДДС!U37</f>
        <v>-11031.782427989179</v>
      </c>
      <c r="V20" s="100">
        <f>ОДДС!V37</f>
        <v>-10115.101259059273</v>
      </c>
      <c r="W20" s="100">
        <f>ОДДС!W37</f>
        <v>-68595.048509765416</v>
      </c>
      <c r="X20" s="100">
        <f>ОДДС!X37</f>
        <v>-8276.3934450498782</v>
      </c>
      <c r="Y20" s="100">
        <f>ОДДС!Y37</f>
        <v>-7416.2291940032737</v>
      </c>
      <c r="Z20" s="100">
        <f>ОДДС!Z37</f>
        <v>-6658.5518744882429</v>
      </c>
      <c r="AA20" s="100">
        <f>ОДДС!AA37</f>
        <v>232909.59577665129</v>
      </c>
      <c r="AB20" s="100">
        <f>ОДДС!AB37</f>
        <v>110988.89852804481</v>
      </c>
      <c r="AC20" s="100">
        <f>ОДДС!AC37</f>
        <v>-12389.495011655032</v>
      </c>
      <c r="AD20" s="100">
        <f>ОДДС!AD37</f>
        <v>-71903.583827347145</v>
      </c>
      <c r="AE20" s="100">
        <f>ОДДС!AE37</f>
        <v>-10524.537339894683</v>
      </c>
      <c r="AF20" s="100">
        <f>ОДДС!AF37</f>
        <v>-9589.1774682439864</v>
      </c>
      <c r="AG20" s="100">
        <f>ОДДС!AG37</f>
        <v>-8652.023946914589</v>
      </c>
      <c r="AH20" s="100">
        <f>ОДДС!AH37</f>
        <v>-7712.9720417821081</v>
      </c>
      <c r="AI20" s="100">
        <f>ОДДС!AI37</f>
        <v>-67976.950805509114</v>
      </c>
      <c r="AJ20" s="100">
        <f>ОДДС!AJ37</f>
        <v>-6165.6443492111284</v>
      </c>
      <c r="AK20" s="100">
        <f>ОДДС!AK37</f>
        <v>-5390.9283737841761</v>
      </c>
      <c r="AL20" s="100">
        <f>ОДДС!AL37</f>
        <v>-4614.5580984186381</v>
      </c>
      <c r="AM20" s="100">
        <f>ОДДС!AM37</f>
        <v>242581.01685567084</v>
      </c>
      <c r="AN20" s="100">
        <f>ОДДС!AN37</f>
        <v>116947.63240783173</v>
      </c>
      <c r="AO20" s="100">
        <f>ОДДС!AO37</f>
        <v>-9673.266580040683</v>
      </c>
      <c r="AP20" s="100">
        <f>ОДДС!AP37</f>
        <v>-71003.044355632388</v>
      </c>
      <c r="AQ20" s="100">
        <f>ОДДС!AQ37</f>
        <v>-7762.4033919646172</v>
      </c>
      <c r="AR20" s="100">
        <f>ОДДС!AR37</f>
        <v>-6965.1858158655232</v>
      </c>
      <c r="AS20" s="100">
        <f>ОДДС!AS37</f>
        <v>-6177.6988279060461</v>
      </c>
      <c r="AT20" s="100">
        <f>ОДДС!AT37</f>
        <v>-5388.6898174770176</v>
      </c>
      <c r="AU20" s="100">
        <f>ОДДС!AU37</f>
        <v>-66984.024901874713</v>
      </c>
      <c r="AV20" s="100">
        <f>ОДДС!AV37</f>
        <v>-3805.7616789590102</v>
      </c>
      <c r="AW20" s="100">
        <f>ОДДС!AW37</f>
        <v>-3011.9165006574476</v>
      </c>
      <c r="AX20" s="100">
        <f>ОДДС!AX37</f>
        <v>-2216.4511994100176</v>
      </c>
      <c r="AY20" s="100">
        <f>ОДДС!AY37</f>
        <v>252400.06254011276</v>
      </c>
      <c r="AZ20" s="100">
        <f>ОДДС!AZ37</f>
        <v>122940.89946504752</v>
      </c>
      <c r="BA20" s="100">
        <f>ОДДС!BA37</f>
        <v>-7169.4710139337694</v>
      </c>
      <c r="BB20" s="100">
        <f>ОДДС!BB37</f>
        <v>-70253.82255488995</v>
      </c>
      <c r="BC20" s="100">
        <f>ОДДС!BC37</f>
        <v>-5563.8577429633588</v>
      </c>
      <c r="BD20" s="100">
        <f>ОДДС!BD37</f>
        <v>-4758.5042922976427</v>
      </c>
      <c r="BE20" s="100">
        <f>ОДДС!BE37</f>
        <v>-3951.584153004922</v>
      </c>
      <c r="BF20" s="100">
        <f>ОДДС!BF37</f>
        <v>-3142.929203364416</v>
      </c>
      <c r="BG20" s="100">
        <f>ОДДС!BG37</f>
        <v>-66139.60664747993</v>
      </c>
      <c r="BH20" s="100">
        <f>ОДДС!BH37</f>
        <v>-1520.8083346050698</v>
      </c>
      <c r="BI20" s="100">
        <f>ОДДС!BI37</f>
        <v>-707.17012041830458</v>
      </c>
      <c r="BJ20" s="100">
        <f>ОДДС!BJ37</f>
        <v>108.05549430369865</v>
      </c>
    </row>
  </sheetData>
  <mergeCells count="5">
    <mergeCell ref="C4:N4"/>
    <mergeCell ref="O4:Z4"/>
    <mergeCell ref="AA4:AL4"/>
    <mergeCell ref="AM4:AX4"/>
    <mergeCell ref="AY4:BJ4"/>
  </mergeCells>
  <phoneticPr fontId="4" type="noConversion"/>
  <conditionalFormatting sqref="C16:BJ20">
    <cfRule type="containsBlanks" dxfId="79" priority="3">
      <formula>LEN(TRIM(C16))=0</formula>
    </cfRule>
  </conditionalFormatting>
  <conditionalFormatting sqref="C12:BJ12">
    <cfRule type="containsBlanks" dxfId="78" priority="2">
      <formula>LEN(TRIM(C12))=0</formula>
    </cfRule>
  </conditionalFormatting>
  <conditionalFormatting sqref="C6:BJ8">
    <cfRule type="containsBlanks" dxfId="77" priority="1">
      <formula>LEN(TRIM(C6))=0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J75"/>
  <sheetViews>
    <sheetView topLeftCell="A15" zoomScale="80" zoomScaleNormal="80" workbookViewId="0">
      <pane xSplit="1" topLeftCell="B1" activePane="topRight" state="frozen"/>
      <selection pane="topRight" activeCell="B23" sqref="B23"/>
    </sheetView>
  </sheetViews>
  <sheetFormatPr baseColWidth="10" defaultColWidth="8.6640625" defaultRowHeight="13"/>
  <cols>
    <col min="1" max="1" width="65.5" customWidth="1"/>
    <col min="2" max="2" width="19.33203125" customWidth="1"/>
    <col min="3" max="3" width="18" customWidth="1"/>
    <col min="4" max="22" width="14.6640625" customWidth="1"/>
    <col min="23" max="35" width="14.33203125" bestFit="1" customWidth="1"/>
    <col min="36" max="62" width="14.5" customWidth="1"/>
  </cols>
  <sheetData>
    <row r="1" spans="1:62" ht="23">
      <c r="A1" s="44" t="s">
        <v>19</v>
      </c>
      <c r="B1" s="102" t="s">
        <v>143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</row>
    <row r="2" spans="1:6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</row>
    <row r="3" spans="1:6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</row>
    <row r="4" spans="1:62" ht="9.75" customHeight="1">
      <c r="A4" s="91"/>
      <c r="B4" s="91"/>
      <c r="C4" s="430" t="s">
        <v>30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1" t="s">
        <v>31</v>
      </c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2" t="s">
        <v>32</v>
      </c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28"/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9"/>
      <c r="AZ4" s="429"/>
      <c r="BA4" s="429"/>
      <c r="BB4" s="429"/>
      <c r="BC4" s="429"/>
      <c r="BD4" s="429"/>
      <c r="BE4" s="429"/>
      <c r="BF4" s="429"/>
      <c r="BG4" s="429"/>
      <c r="BH4" s="429"/>
      <c r="BI4" s="429"/>
      <c r="BJ4" s="429"/>
    </row>
    <row r="5" spans="1:62">
      <c r="A5" s="83" t="s">
        <v>40</v>
      </c>
      <c r="B5" s="84" t="s">
        <v>0</v>
      </c>
      <c r="C5" s="90">
        <f>Доходи!C4</f>
        <v>44562</v>
      </c>
      <c r="D5" s="90">
        <f>Доходи!D4</f>
        <v>44593</v>
      </c>
      <c r="E5" s="90">
        <f>Доходи!E4</f>
        <v>44621</v>
      </c>
      <c r="F5" s="90">
        <f>Доходи!F4</f>
        <v>44652</v>
      </c>
      <c r="G5" s="90">
        <f>Доходи!G4</f>
        <v>44682</v>
      </c>
      <c r="H5" s="90">
        <f>Доходи!H4</f>
        <v>44713</v>
      </c>
      <c r="I5" s="90">
        <f>Доходи!I4</f>
        <v>44743</v>
      </c>
      <c r="J5" s="90">
        <f>Доходи!J4</f>
        <v>44774</v>
      </c>
      <c r="K5" s="90">
        <f>Доходи!K4</f>
        <v>44805</v>
      </c>
      <c r="L5" s="90">
        <f>Доходи!L4</f>
        <v>44835</v>
      </c>
      <c r="M5" s="90">
        <f>Доходи!M4</f>
        <v>44866</v>
      </c>
      <c r="N5" s="90">
        <f>Доходи!N4</f>
        <v>44896</v>
      </c>
      <c r="O5" s="90">
        <f>Доходи!O4</f>
        <v>44927</v>
      </c>
      <c r="P5" s="90">
        <f>Доходи!P4</f>
        <v>44958</v>
      </c>
      <c r="Q5" s="90">
        <f>Доходи!Q4</f>
        <v>44986</v>
      </c>
      <c r="R5" s="90">
        <f>Доходи!R4</f>
        <v>45017</v>
      </c>
      <c r="S5" s="90">
        <f>Доходи!S4</f>
        <v>45047</v>
      </c>
      <c r="T5" s="90">
        <f>Доходи!T4</f>
        <v>45078</v>
      </c>
      <c r="U5" s="90">
        <f>Доходи!U4</f>
        <v>45108</v>
      </c>
      <c r="V5" s="90">
        <f>Доходи!V4</f>
        <v>45139</v>
      </c>
      <c r="W5" s="90">
        <f>Доходи!W4</f>
        <v>45170</v>
      </c>
      <c r="X5" s="90">
        <f>Доходи!X4</f>
        <v>45200</v>
      </c>
      <c r="Y5" s="90">
        <f>Доходи!Y4</f>
        <v>45231</v>
      </c>
      <c r="Z5" s="90">
        <f>Доходи!Z4</f>
        <v>45261</v>
      </c>
      <c r="AA5" s="90">
        <f>Доходи!AA4</f>
        <v>45292</v>
      </c>
      <c r="AB5" s="90">
        <f>Доходи!AB4</f>
        <v>45323</v>
      </c>
      <c r="AC5" s="90">
        <f>Доходи!AC4</f>
        <v>45352</v>
      </c>
      <c r="AD5" s="90">
        <f>Доходи!AD4</f>
        <v>45383</v>
      </c>
      <c r="AE5" s="90">
        <f>Доходи!AE4</f>
        <v>45413</v>
      </c>
      <c r="AF5" s="90">
        <f>Доходи!AF4</f>
        <v>45444</v>
      </c>
      <c r="AG5" s="90">
        <f>Доходи!AG4</f>
        <v>45474</v>
      </c>
      <c r="AH5" s="90">
        <f>Доходи!AH4</f>
        <v>45505</v>
      </c>
      <c r="AI5" s="90">
        <f>Доходи!AI4</f>
        <v>45536</v>
      </c>
      <c r="AJ5" s="90">
        <f>Доходи!AJ4</f>
        <v>45566</v>
      </c>
      <c r="AK5" s="90">
        <f>Доходи!AK4</f>
        <v>45597</v>
      </c>
      <c r="AL5" s="90">
        <f>Доходи!AL4</f>
        <v>45627</v>
      </c>
      <c r="AM5" s="98">
        <f>Доходи!AM4</f>
        <v>45658</v>
      </c>
      <c r="AN5" s="98">
        <f>Доходи!AN4</f>
        <v>45689</v>
      </c>
      <c r="AO5" s="98">
        <f>Доходи!AO4</f>
        <v>45717</v>
      </c>
      <c r="AP5" s="98">
        <f>Доходи!AP4</f>
        <v>45748</v>
      </c>
      <c r="AQ5" s="98">
        <f>Доходи!AQ4</f>
        <v>45778</v>
      </c>
      <c r="AR5" s="98">
        <f>Доходи!AR4</f>
        <v>45809</v>
      </c>
      <c r="AS5" s="98">
        <f>Доходи!AS4</f>
        <v>45839</v>
      </c>
      <c r="AT5" s="98">
        <f>Доходи!AT4</f>
        <v>45870</v>
      </c>
      <c r="AU5" s="98">
        <f>Доходи!AU4</f>
        <v>45901</v>
      </c>
      <c r="AV5" s="98">
        <f>Доходи!AV4</f>
        <v>45931</v>
      </c>
      <c r="AW5" s="98">
        <f>Доходи!AW4</f>
        <v>45962</v>
      </c>
      <c r="AX5" s="98">
        <f>Доходи!AX4</f>
        <v>45992</v>
      </c>
      <c r="AY5" s="98">
        <f>Доходи!AY4</f>
        <v>46023</v>
      </c>
      <c r="AZ5" s="98">
        <f>Доходи!AZ4</f>
        <v>46054</v>
      </c>
      <c r="BA5" s="98">
        <f>Доходи!BA4</f>
        <v>46082</v>
      </c>
      <c r="BB5" s="98">
        <f>Доходи!BB4</f>
        <v>46113</v>
      </c>
      <c r="BC5" s="98">
        <f>Доходи!BC4</f>
        <v>46143</v>
      </c>
      <c r="BD5" s="98">
        <f>Доходи!BD4</f>
        <v>46174</v>
      </c>
      <c r="BE5" s="98">
        <f>Доходи!BE4</f>
        <v>46204</v>
      </c>
      <c r="BF5" s="98">
        <f>Доходи!BF4</f>
        <v>46235</v>
      </c>
      <c r="BG5" s="98">
        <f>Доходи!BG4</f>
        <v>46266</v>
      </c>
      <c r="BH5" s="98">
        <f>Доходи!BH4</f>
        <v>46296</v>
      </c>
      <c r="BI5" s="98">
        <f>Доходи!BI4</f>
        <v>46327</v>
      </c>
      <c r="BJ5" s="98">
        <f>Доходи!BJ4</f>
        <v>46357</v>
      </c>
    </row>
    <row r="6" spans="1:62">
      <c r="A6" s="19" t="s">
        <v>187</v>
      </c>
      <c r="B6" s="120">
        <f>SUM(C6:BJ6)</f>
        <v>239495.07847363211</v>
      </c>
      <c r="C6" s="100">
        <f>-ОДДС!C14+ОДДС!C33-ОДДС!C34-ОДДС!C23</f>
        <v>-175568.19863333367</v>
      </c>
      <c r="D6" s="100">
        <f>-ОДДС!D14+ОДДС!D33-ОДДС!D34-ОДДС!D23</f>
        <v>94491.760697999969</v>
      </c>
      <c r="E6" s="100">
        <f>-ОДДС!E14+ОДДС!E33-ОДДС!E34-ОДДС!E23</f>
        <v>-23805.919018499902</v>
      </c>
      <c r="F6" s="100">
        <f>-ОДДС!F14+ОДДС!F33-ОДДС!F34-ОДДС!F23</f>
        <v>-79848.0263528371</v>
      </c>
      <c r="G6" s="100">
        <f>-ОДДС!G14+ОДДС!G33-ОДДС!G34-ОДДС!G23</f>
        <v>-22028.747242149082</v>
      </c>
      <c r="H6" s="100">
        <f>-ОДДС!H14+ОДДС!H33-ОДДС!H34-ОДДС!H23</f>
        <v>-21137.544985254412</v>
      </c>
      <c r="I6" s="100">
        <f>-ОДДС!I14+ОДДС!I33-ОДДС!I34-ОДДС!I23</f>
        <v>-20244.45922271756</v>
      </c>
      <c r="J6" s="100">
        <f>-ОДДС!J14+ОДДС!J33-ОДДС!J34-ОДДС!J23</f>
        <v>-19349.685495774262</v>
      </c>
      <c r="K6" s="100">
        <f>-ОДДС!K14+ОДДС!K33-ОДДС!K34-ОДДС!K23</f>
        <v>-76098.165467610816</v>
      </c>
      <c r="L6" s="100">
        <f>-ОДДС!L14+ОДДС!L33-ОДДС!L34-ОДДС!L23</f>
        <v>-17554.656257849885</v>
      </c>
      <c r="M6" s="100">
        <f>-ОДДС!M14+ОДДС!M33-ОДДС!M34-ОДДС!M23</f>
        <v>-16654.491773494403</v>
      </c>
      <c r="N6" s="100">
        <f>-ОДДС!N14+ОДДС!N33-ОДДС!N34-ОДДС!N23</f>
        <v>-15752.421377928345</v>
      </c>
      <c r="O6" s="100">
        <f>-ОДДС!O14+ОДДС!O33-ОДДС!O34-ОДДС!O23</f>
        <v>223806.98248754814</v>
      </c>
      <c r="P6" s="100">
        <f>-ОДДС!P14+ОДДС!P33-ОДДС!P34-ОДДС!P23</f>
        <v>105489.46041720011</v>
      </c>
      <c r="Q6" s="100">
        <f>-ОДДС!Q14+ОДДС!Q33-ОДДС!Q34-ОДДС!Q23</f>
        <v>-14679.829519721097</v>
      </c>
      <c r="R6" s="100">
        <f>-ОДДС!R14+ОДДС!R33-ОДДС!R34-ОДДС!R23</f>
        <v>-72432.022174816346</v>
      </c>
      <c r="S6" s="100">
        <f>-ОДДС!S14+ОДДС!S33-ОДДС!S34-ОДДС!S23</f>
        <v>-12859.422319066711</v>
      </c>
      <c r="T6" s="100">
        <f>-ОДДС!T14+ОДДС!T33-ОДДС!T34-ОДДС!T23</f>
        <v>-11946.521249864483</v>
      </c>
      <c r="U6" s="100">
        <f>-ОДДС!U14+ОДДС!U33-ОДДС!U34-ОДДС!U23</f>
        <v>-11031.782427989179</v>
      </c>
      <c r="V6" s="100">
        <f>-ОДДС!V14+ОДДС!V33-ОДДС!V34-ОДДС!V23</f>
        <v>-10115.101259059273</v>
      </c>
      <c r="W6" s="100">
        <f>-ОДДС!W14+ОДДС!W33-ОДДС!W34-ОДДС!W23</f>
        <v>-68595.048509765416</v>
      </c>
      <c r="X6" s="100">
        <f>-ОДДС!X14+ОДДС!X33-ОДДС!X34-ОДДС!X23</f>
        <v>-8276.3934450498782</v>
      </c>
      <c r="Y6" s="100">
        <f>-ОДДС!Y14+ОДДС!Y33-ОДДС!Y34-ОДДС!Y23</f>
        <v>-7416.2291940032737</v>
      </c>
      <c r="Z6" s="100">
        <f>-ОДДС!Z14+ОДДС!Z33-ОДДС!Z34-ОДДС!Z23</f>
        <v>-6658.5518744882429</v>
      </c>
      <c r="AA6" s="100">
        <f>-ОДДС!AA14+ОДДС!AA33-ОДДС!AA34-ОДДС!AA23</f>
        <v>232909.59577665129</v>
      </c>
      <c r="AB6" s="100">
        <f>-ОДДС!AB14+ОДДС!AB33-ОДДС!AB34-ОДДС!AB23</f>
        <v>110988.89852804481</v>
      </c>
      <c r="AC6" s="100">
        <f>-ОДДС!AC14+ОДДС!AC33-ОДДС!AC34-ОДДС!AC23</f>
        <v>-12389.495011655032</v>
      </c>
      <c r="AD6" s="100">
        <f>-ОДДС!AD14+ОДДС!AD33-ОДДС!AD34-ОДДС!AD23</f>
        <v>-71903.583827347145</v>
      </c>
      <c r="AE6" s="100">
        <f>-ОДДС!AE14+ОДДС!AE33-ОДДС!AE34-ОДДС!AE23</f>
        <v>-10524.537339894683</v>
      </c>
      <c r="AF6" s="100">
        <f>-ОДДС!AF14+ОДДС!AF33-ОДДС!AF34-ОДДС!AF23</f>
        <v>-9589.1774682439864</v>
      </c>
      <c r="AG6" s="100">
        <f>-ОДДС!AG14+ОДДС!AG33-ОДДС!AG34-ОДДС!AG23</f>
        <v>-8652.023946914589</v>
      </c>
      <c r="AH6" s="100">
        <f>-ОДДС!AH14+ОДДС!AH33-ОДДС!AH34-ОДДС!AH23</f>
        <v>-7712.9720417821081</v>
      </c>
      <c r="AI6" s="100">
        <f>-ОДДС!AI14+ОДДС!AI33-ОДДС!AI34-ОДДС!AI23</f>
        <v>-67976.950805509114</v>
      </c>
      <c r="AJ6" s="100">
        <f>-ОДДС!AJ14+ОДДС!AJ33-ОДДС!AJ34-ОДДС!AJ23</f>
        <v>-6165.6443492111284</v>
      </c>
      <c r="AK6" s="100">
        <f>-ОДДС!AK14+ОДДС!AK33-ОДДС!AK34-ОДДС!AK23</f>
        <v>-5390.9283737841761</v>
      </c>
      <c r="AL6" s="100">
        <f>-ОДДС!AL14+ОДДС!AL33-ОДДС!AL34-ОДДС!AL23</f>
        <v>-4614.5580984186381</v>
      </c>
      <c r="AM6" s="100">
        <f>-ОДДС!AM14+ОДДС!AM33-ОДДС!AM34-ОДДС!AM23</f>
        <v>242581.01685567084</v>
      </c>
      <c r="AN6" s="100">
        <f>-ОДДС!AN14+ОДДС!AN33-ОДДС!AN34-ОДДС!AN23</f>
        <v>116947.63240783173</v>
      </c>
      <c r="AO6" s="100">
        <f>-ОДДС!AO14+ОДДС!AO33-ОДДС!AO34-ОДДС!AO23</f>
        <v>-9673.266580040683</v>
      </c>
      <c r="AP6" s="100">
        <f>-ОДДС!AP14+ОДДС!AP33-ОДДС!AP34-ОДДС!AP23</f>
        <v>-71003.044355632388</v>
      </c>
      <c r="AQ6" s="100">
        <f>-ОДДС!AQ14+ОДДС!AQ33-ОДДС!AQ34-ОДДС!AQ23</f>
        <v>-7762.4033919646172</v>
      </c>
      <c r="AR6" s="100">
        <f>-ОДДС!AR14+ОДДС!AR33-ОДДС!AR34-ОДДС!AR23</f>
        <v>-6965.1858158655232</v>
      </c>
      <c r="AS6" s="100">
        <f>-ОДДС!AS14+ОДДС!AS33-ОДДС!AS34-ОДДС!AS23</f>
        <v>-6177.6988279060461</v>
      </c>
      <c r="AT6" s="100">
        <f>-ОДДС!AT14+ОДДС!AT33-ОДДС!AT34-ОДДС!AT23</f>
        <v>-5388.6898174770176</v>
      </c>
      <c r="AU6" s="100">
        <f>-ОДДС!AU14+ОДДС!AU33-ОДДС!AU34-ОДДС!AU23</f>
        <v>-66984.024901874713</v>
      </c>
      <c r="AV6" s="100">
        <f>-ОДДС!AV14+ОДДС!AV33-ОДДС!AV34-ОДДС!AV23</f>
        <v>-3805.7616789590102</v>
      </c>
      <c r="AW6" s="100">
        <f>-ОДДС!AW14+ОДДС!AW33-ОДДС!AW34-ОДДС!AW23</f>
        <v>-3011.9165006574476</v>
      </c>
      <c r="AX6" s="100">
        <f>-ОДДС!AX14+ОДДС!AX33-ОДДС!AX34-ОДДС!AX23</f>
        <v>-2216.4511994100176</v>
      </c>
      <c r="AY6" s="100">
        <f>-ОДДС!AY14+ОДДС!AY33-ОДДС!AY34-ОДДС!AY23</f>
        <v>252400.06254011276</v>
      </c>
      <c r="AZ6" s="100">
        <f>-ОДДС!AZ14+ОДДС!AZ33-ОДДС!AZ34-ОДДС!AZ23</f>
        <v>122940.89946504752</v>
      </c>
      <c r="BA6" s="100">
        <f>-ОДДС!BA14+ОДДС!BA33-ОДДС!BA34-ОДДС!BA23</f>
        <v>-7169.4710139337694</v>
      </c>
      <c r="BB6" s="100">
        <f>-ОДДС!BB14+ОДДС!BB33-ОДДС!BB34-ОДДС!BB23</f>
        <v>-70253.82255488995</v>
      </c>
      <c r="BC6" s="100">
        <f>-ОДДС!BC14+ОДДС!BC33-ОДДС!BC34-ОДДС!BC23</f>
        <v>-5563.8577429633588</v>
      </c>
      <c r="BD6" s="100">
        <f>-ОДДС!BD14+ОДДС!BD33-ОДДС!BD34-ОДДС!BD23</f>
        <v>-4758.5042922976427</v>
      </c>
      <c r="BE6" s="100">
        <f>-ОДДС!BE14+ОДДС!BE33-ОДДС!BE34-ОДДС!BE23</f>
        <v>-3951.584153004922</v>
      </c>
      <c r="BF6" s="100">
        <f>-ОДДС!BF14+ОДДС!BF33-ОДДС!BF34-ОДДС!BF23</f>
        <v>-3142.929203364416</v>
      </c>
      <c r="BG6" s="100">
        <f>-ОДДС!BG14+ОДДС!BG33-ОДДС!BG34-ОДДС!BG23</f>
        <v>-66139.60664747993</v>
      </c>
      <c r="BH6" s="100">
        <f>-ОДДС!BH14+ОДДС!BH33-ОДДС!BH34-ОДДС!BH23</f>
        <v>-1520.8083346050698</v>
      </c>
      <c r="BI6" s="100">
        <f>-ОДДС!BI14+ОДДС!BI33-ОДДС!BI34-ОДДС!BI23</f>
        <v>-707.17012041830458</v>
      </c>
      <c r="BJ6" s="100">
        <f>-ОДДС!BJ14+ОДДС!BJ33-ОДДС!BJ34-ОДДС!BJ23</f>
        <v>108.05549430369865</v>
      </c>
    </row>
    <row r="7" spans="1:62">
      <c r="A7" s="19" t="s">
        <v>188</v>
      </c>
      <c r="B7" s="120">
        <f>SUM(C7:BJ7)</f>
        <v>1463356.6003333339</v>
      </c>
      <c r="C7" s="100">
        <f>'Інвестиційний план'!C15</f>
        <v>1418414.8503333335</v>
      </c>
      <c r="D7" s="100">
        <f>'Інвестиційний план'!D15</f>
        <v>8988.35</v>
      </c>
      <c r="E7" s="100">
        <f>'Інвестиційний план'!E15</f>
        <v>8988.35</v>
      </c>
      <c r="F7" s="100">
        <f>'Інвестиційний план'!F15</f>
        <v>8988.35</v>
      </c>
      <c r="G7" s="100">
        <f>'Інвестиційний план'!G15</f>
        <v>8988.35</v>
      </c>
      <c r="H7" s="100">
        <f>'Інвестиційний план'!H15</f>
        <v>8988.35</v>
      </c>
      <c r="I7" s="100">
        <f>'Інвестиційний план'!I15</f>
        <v>0</v>
      </c>
      <c r="J7" s="100">
        <f>'Інвестиційний план'!J15</f>
        <v>0</v>
      </c>
      <c r="K7" s="100">
        <f>'Інвестиційний план'!K15</f>
        <v>0</v>
      </c>
      <c r="L7" s="100">
        <f>'Інвестиційний план'!L15</f>
        <v>0</v>
      </c>
      <c r="M7" s="100">
        <f>'Інвестиційний план'!M15</f>
        <v>0</v>
      </c>
      <c r="N7" s="100">
        <f>'Інвестиційний план'!N15</f>
        <v>0</v>
      </c>
      <c r="O7" s="100">
        <f>'Інвестиційний план'!O15</f>
        <v>0</v>
      </c>
      <c r="P7" s="100">
        <f>'Інвестиційний план'!P15</f>
        <v>0</v>
      </c>
      <c r="Q7" s="100">
        <f>'Інвестиційний план'!Q15</f>
        <v>0</v>
      </c>
      <c r="R7" s="100">
        <f>'Інвестиційний план'!R15</f>
        <v>0</v>
      </c>
      <c r="S7" s="100">
        <f>'Інвестиційний план'!S15</f>
        <v>0</v>
      </c>
      <c r="T7" s="100">
        <f>'Інвестиційний план'!T15</f>
        <v>0</v>
      </c>
      <c r="U7" s="100">
        <f>'Інвестиційний план'!U15</f>
        <v>0</v>
      </c>
      <c r="V7" s="100">
        <f>'Інвестиційний план'!V15</f>
        <v>0</v>
      </c>
      <c r="W7" s="100">
        <f>'Інвестиційний план'!W15</f>
        <v>0</v>
      </c>
      <c r="X7" s="100">
        <f>'Інвестиційний план'!X15</f>
        <v>0</v>
      </c>
      <c r="Y7" s="100">
        <f>'Інвестиційний план'!Y15</f>
        <v>0</v>
      </c>
      <c r="Z7" s="100">
        <f>'Інвестиційний план'!Z15</f>
        <v>0</v>
      </c>
      <c r="AA7" s="100">
        <f>'Інвестиційний план'!AA15</f>
        <v>0</v>
      </c>
      <c r="AB7" s="100">
        <f>'Інвестиційний план'!AB15</f>
        <v>0</v>
      </c>
      <c r="AC7" s="100">
        <f>'Інвестиційний план'!AC15</f>
        <v>0</v>
      </c>
      <c r="AD7" s="100">
        <f>'Інвестиційний план'!AD15</f>
        <v>0</v>
      </c>
      <c r="AE7" s="100">
        <f>'Інвестиційний план'!AE15</f>
        <v>0</v>
      </c>
      <c r="AF7" s="100">
        <f>'Інвестиційний план'!AF15</f>
        <v>0</v>
      </c>
      <c r="AG7" s="100">
        <f>'Інвестиційний план'!AG15</f>
        <v>0</v>
      </c>
      <c r="AH7" s="100">
        <f>'Інвестиційний план'!AH15</f>
        <v>0</v>
      </c>
      <c r="AI7" s="100">
        <f>'Інвестиційний план'!AI15</f>
        <v>0</v>
      </c>
      <c r="AJ7" s="100">
        <f>'Інвестиційний план'!AJ15</f>
        <v>0</v>
      </c>
      <c r="AK7" s="100">
        <f>'Інвестиційний план'!AK15</f>
        <v>0</v>
      </c>
      <c r="AL7" s="100">
        <f>'Інвестиційний план'!AL15</f>
        <v>0</v>
      </c>
      <c r="AM7" s="100">
        <f>'Інвестиційний план'!AM15</f>
        <v>0</v>
      </c>
      <c r="AN7" s="100">
        <f>'Інвестиційний план'!AN15</f>
        <v>0</v>
      </c>
      <c r="AO7" s="100">
        <f>'Інвестиційний план'!AO15</f>
        <v>0</v>
      </c>
      <c r="AP7" s="100">
        <f>'Інвестиційний план'!AP15</f>
        <v>0</v>
      </c>
      <c r="AQ7" s="100">
        <f>'Інвестиційний план'!AQ15</f>
        <v>0</v>
      </c>
      <c r="AR7" s="100">
        <f>'Інвестиційний план'!AR15</f>
        <v>0</v>
      </c>
      <c r="AS7" s="100">
        <f>'Інвестиційний план'!AS15</f>
        <v>0</v>
      </c>
      <c r="AT7" s="100">
        <f>'Інвестиційний план'!AT15</f>
        <v>0</v>
      </c>
      <c r="AU7" s="100">
        <f>'Інвестиційний план'!AU15</f>
        <v>0</v>
      </c>
      <c r="AV7" s="100">
        <f>'Інвестиційний план'!AV15</f>
        <v>0</v>
      </c>
      <c r="AW7" s="100">
        <f>'Інвестиційний план'!AW15</f>
        <v>0</v>
      </c>
      <c r="AX7" s="100">
        <f>'Інвестиційний план'!AX15</f>
        <v>0</v>
      </c>
      <c r="AY7" s="100">
        <f>'Інвестиційний план'!AY15</f>
        <v>0</v>
      </c>
      <c r="AZ7" s="100">
        <f>'Інвестиційний план'!AZ15</f>
        <v>0</v>
      </c>
      <c r="BA7" s="100">
        <f>'Інвестиційний план'!BA15</f>
        <v>0</v>
      </c>
      <c r="BB7" s="100">
        <f>'Інвестиційний план'!BB15</f>
        <v>0</v>
      </c>
      <c r="BC7" s="100">
        <f>'Інвестиційний план'!BC15</f>
        <v>0</v>
      </c>
      <c r="BD7" s="100">
        <f>'Інвестиційний план'!BD15</f>
        <v>0</v>
      </c>
      <c r="BE7" s="100">
        <f>'Інвестиційний план'!BE15</f>
        <v>0</v>
      </c>
      <c r="BF7" s="100">
        <f>'Інвестиційний план'!BF15</f>
        <v>0</v>
      </c>
      <c r="BG7" s="100">
        <f>'Інвестиційний план'!BG15</f>
        <v>0</v>
      </c>
      <c r="BH7" s="100">
        <f>'Інвестиційний план'!BH15</f>
        <v>0</v>
      </c>
      <c r="BI7" s="100">
        <f>'Інвестиційний план'!BI15</f>
        <v>0</v>
      </c>
      <c r="BJ7" s="100">
        <f>'Інвестиційний план'!BJ15</f>
        <v>0</v>
      </c>
    </row>
    <row r="8" spans="1:62">
      <c r="A8" s="86" t="s">
        <v>189</v>
      </c>
      <c r="B8" s="121">
        <f>BJ8</f>
        <v>239495.07847363211</v>
      </c>
      <c r="C8" s="57">
        <f>C6</f>
        <v>-175568.19863333367</v>
      </c>
      <c r="D8" s="57">
        <f t="shared" ref="D8:AI8" si="0">C8+D6</f>
        <v>-81076.437935333699</v>
      </c>
      <c r="E8" s="57">
        <f t="shared" si="0"/>
        <v>-104882.3569538336</v>
      </c>
      <c r="F8" s="57">
        <f t="shared" si="0"/>
        <v>-184730.3833066707</v>
      </c>
      <c r="G8" s="57">
        <f t="shared" si="0"/>
        <v>-206759.13054881978</v>
      </c>
      <c r="H8" s="57">
        <f t="shared" si="0"/>
        <v>-227896.67553407419</v>
      </c>
      <c r="I8" s="57">
        <f t="shared" si="0"/>
        <v>-248141.13475679175</v>
      </c>
      <c r="J8" s="57">
        <f t="shared" si="0"/>
        <v>-267490.82025256602</v>
      </c>
      <c r="K8" s="57">
        <f t="shared" si="0"/>
        <v>-343588.98572017683</v>
      </c>
      <c r="L8" s="57">
        <f t="shared" si="0"/>
        <v>-361143.64197802672</v>
      </c>
      <c r="M8" s="57">
        <f t="shared" si="0"/>
        <v>-377798.13375152112</v>
      </c>
      <c r="N8" s="57">
        <f>M8+N6</f>
        <v>-393550.55512944947</v>
      </c>
      <c r="O8" s="57">
        <f t="shared" si="0"/>
        <v>-169743.57264190132</v>
      </c>
      <c r="P8" s="57">
        <f t="shared" si="0"/>
        <v>-64254.11222470121</v>
      </c>
      <c r="Q8" s="57">
        <f t="shared" si="0"/>
        <v>-78933.941744422307</v>
      </c>
      <c r="R8" s="57">
        <f t="shared" si="0"/>
        <v>-151365.96391923865</v>
      </c>
      <c r="S8" s="57">
        <f t="shared" si="0"/>
        <v>-164225.38623830536</v>
      </c>
      <c r="T8" s="57">
        <f t="shared" si="0"/>
        <v>-176171.90748816985</v>
      </c>
      <c r="U8" s="57">
        <f t="shared" si="0"/>
        <v>-187203.68991615903</v>
      </c>
      <c r="V8" s="57">
        <f t="shared" si="0"/>
        <v>-197318.7911752183</v>
      </c>
      <c r="W8" s="57">
        <f t="shared" si="0"/>
        <v>-265913.83968498372</v>
      </c>
      <c r="X8" s="57">
        <f t="shared" si="0"/>
        <v>-274190.23313003359</v>
      </c>
      <c r="Y8" s="57">
        <f t="shared" si="0"/>
        <v>-281606.46232403687</v>
      </c>
      <c r="Z8" s="57">
        <f t="shared" si="0"/>
        <v>-288265.01419852511</v>
      </c>
      <c r="AA8" s="57">
        <f t="shared" si="0"/>
        <v>-55355.418421873823</v>
      </c>
      <c r="AB8" s="57">
        <f t="shared" si="0"/>
        <v>55633.480106170988</v>
      </c>
      <c r="AC8" s="57">
        <f t="shared" si="0"/>
        <v>43243.985094515956</v>
      </c>
      <c r="AD8" s="57">
        <f t="shared" si="0"/>
        <v>-28659.598732831189</v>
      </c>
      <c r="AE8" s="57">
        <f t="shared" si="0"/>
        <v>-39184.136072725873</v>
      </c>
      <c r="AF8" s="57">
        <f t="shared" si="0"/>
        <v>-48773.313540969859</v>
      </c>
      <c r="AG8" s="57">
        <f t="shared" si="0"/>
        <v>-57425.337487884448</v>
      </c>
      <c r="AH8" s="57">
        <f t="shared" si="0"/>
        <v>-65138.309529666556</v>
      </c>
      <c r="AI8" s="57">
        <f t="shared" si="0"/>
        <v>-133115.26033517567</v>
      </c>
      <c r="AJ8" s="57">
        <f t="shared" ref="AJ8:AL8" si="1">AI8+AJ6</f>
        <v>-139280.9046843868</v>
      </c>
      <c r="AK8" s="57">
        <f t="shared" si="1"/>
        <v>-144671.83305817097</v>
      </c>
      <c r="AL8" s="57">
        <f t="shared" si="1"/>
        <v>-149286.39115658961</v>
      </c>
      <c r="AM8" s="57">
        <f t="shared" ref="AM8" si="2">AL8+AM6</f>
        <v>93294.625699081225</v>
      </c>
      <c r="AN8" s="57">
        <f t="shared" ref="AN8" si="3">AM8+AN6</f>
        <v>210242.25810691295</v>
      </c>
      <c r="AO8" s="57">
        <f t="shared" ref="AO8" si="4">AN8+AO6</f>
        <v>200568.99152687227</v>
      </c>
      <c r="AP8" s="57">
        <f t="shared" ref="AP8" si="5">AO8+AP6</f>
        <v>129565.94717123988</v>
      </c>
      <c r="AQ8" s="57">
        <f t="shared" ref="AQ8" si="6">AP8+AQ6</f>
        <v>121803.54377927526</v>
      </c>
      <c r="AR8" s="57">
        <f t="shared" ref="AR8" si="7">AQ8+AR6</f>
        <v>114838.35796340974</v>
      </c>
      <c r="AS8" s="57">
        <f t="shared" ref="AS8" si="8">AR8+AS6</f>
        <v>108660.65913550369</v>
      </c>
      <c r="AT8" s="57">
        <f t="shared" ref="AT8" si="9">AS8+AT6</f>
        <v>103271.96931802668</v>
      </c>
      <c r="AU8" s="57">
        <f t="shared" ref="AU8" si="10">AT8+AU6</f>
        <v>36287.944416151964</v>
      </c>
      <c r="AV8" s="57">
        <f t="shared" ref="AV8" si="11">AU8+AV6</f>
        <v>32482.182737192954</v>
      </c>
      <c r="AW8" s="57">
        <f t="shared" ref="AW8" si="12">AV8+AW6</f>
        <v>29470.266236535506</v>
      </c>
      <c r="AX8" s="57">
        <f t="shared" ref="AX8" si="13">AW8+AX6</f>
        <v>27253.815037125489</v>
      </c>
      <c r="AY8" s="57">
        <f t="shared" ref="AY8" si="14">AX8+AY6</f>
        <v>279653.87757723825</v>
      </c>
      <c r="AZ8" s="57">
        <f t="shared" ref="AZ8" si="15">AY8+AZ6</f>
        <v>402594.77704228577</v>
      </c>
      <c r="BA8" s="57">
        <f t="shared" ref="BA8" si="16">AZ8+BA6</f>
        <v>395425.306028352</v>
      </c>
      <c r="BB8" s="57">
        <f t="shared" ref="BB8" si="17">BA8+BB6</f>
        <v>325171.48347346205</v>
      </c>
      <c r="BC8" s="57">
        <f t="shared" ref="BC8" si="18">BB8+BC6</f>
        <v>319607.62573049869</v>
      </c>
      <c r="BD8" s="57">
        <f t="shared" ref="BD8" si="19">BC8+BD6</f>
        <v>314849.12143820105</v>
      </c>
      <c r="BE8" s="57">
        <f t="shared" ref="BE8" si="20">BD8+BE6</f>
        <v>310897.53728519613</v>
      </c>
      <c r="BF8" s="57">
        <f t="shared" ref="BF8" si="21">BE8+BF6</f>
        <v>307754.60808183171</v>
      </c>
      <c r="BG8" s="57">
        <f t="shared" ref="BG8" si="22">BF8+BG6</f>
        <v>241615.00143435178</v>
      </c>
      <c r="BH8" s="57">
        <f t="shared" ref="BH8" si="23">BG8+BH6</f>
        <v>240094.19309974671</v>
      </c>
      <c r="BI8" s="57">
        <f t="shared" ref="BI8" si="24">BH8+BI6</f>
        <v>239387.02297932841</v>
      </c>
      <c r="BJ8" s="57">
        <f t="shared" ref="BJ8" si="25">BI8+BJ6</f>
        <v>239495.07847363211</v>
      </c>
    </row>
    <row r="9" spans="1:62">
      <c r="A9" s="19" t="s">
        <v>190</v>
      </c>
      <c r="B9" s="120">
        <f>SUM(C9:BJ9)</f>
        <v>34</v>
      </c>
      <c r="C9" s="100">
        <f>IF(C8&lt;=0,1,0)</f>
        <v>1</v>
      </c>
      <c r="D9" s="100">
        <f t="shared" ref="D9:V9" si="26">IF(D8&lt;=0,1,0)</f>
        <v>1</v>
      </c>
      <c r="E9" s="100">
        <f t="shared" si="26"/>
        <v>1</v>
      </c>
      <c r="F9" s="100">
        <f t="shared" si="26"/>
        <v>1</v>
      </c>
      <c r="G9" s="100">
        <f t="shared" si="26"/>
        <v>1</v>
      </c>
      <c r="H9" s="100">
        <f t="shared" si="26"/>
        <v>1</v>
      </c>
      <c r="I9" s="100">
        <f t="shared" si="26"/>
        <v>1</v>
      </c>
      <c r="J9" s="100">
        <f t="shared" si="26"/>
        <v>1</v>
      </c>
      <c r="K9" s="100">
        <f t="shared" si="26"/>
        <v>1</v>
      </c>
      <c r="L9" s="100">
        <f t="shared" si="26"/>
        <v>1</v>
      </c>
      <c r="M9" s="100">
        <f t="shared" si="26"/>
        <v>1</v>
      </c>
      <c r="N9" s="100">
        <f t="shared" si="26"/>
        <v>1</v>
      </c>
      <c r="O9" s="100">
        <f t="shared" si="26"/>
        <v>1</v>
      </c>
      <c r="P9" s="100">
        <f t="shared" si="26"/>
        <v>1</v>
      </c>
      <c r="Q9" s="100">
        <f t="shared" si="26"/>
        <v>1</v>
      </c>
      <c r="R9" s="100">
        <f t="shared" si="26"/>
        <v>1</v>
      </c>
      <c r="S9" s="100">
        <f t="shared" si="26"/>
        <v>1</v>
      </c>
      <c r="T9" s="100">
        <f t="shared" si="26"/>
        <v>1</v>
      </c>
      <c r="U9" s="100">
        <f t="shared" si="26"/>
        <v>1</v>
      </c>
      <c r="V9" s="100">
        <f t="shared" si="26"/>
        <v>1</v>
      </c>
      <c r="W9" s="100">
        <f t="shared" ref="W9:AD9" si="27">IF(W8&lt;=0,1,0)</f>
        <v>1</v>
      </c>
      <c r="X9" s="100">
        <f t="shared" si="27"/>
        <v>1</v>
      </c>
      <c r="Y9" s="100">
        <f t="shared" si="27"/>
        <v>1</v>
      </c>
      <c r="Z9" s="100">
        <f t="shared" si="27"/>
        <v>1</v>
      </c>
      <c r="AA9" s="100">
        <f t="shared" si="27"/>
        <v>1</v>
      </c>
      <c r="AB9" s="100">
        <f t="shared" si="27"/>
        <v>0</v>
      </c>
      <c r="AC9" s="100">
        <f t="shared" si="27"/>
        <v>0</v>
      </c>
      <c r="AD9" s="100">
        <f t="shared" si="27"/>
        <v>1</v>
      </c>
      <c r="AE9" s="100">
        <f>IF(AE8&lt;=0,1,0)</f>
        <v>1</v>
      </c>
      <c r="AF9" s="100">
        <f>IF(AF8&lt;=0,1,0)</f>
        <v>1</v>
      </c>
      <c r="AG9" s="100">
        <f>IF(AG8&lt;=0,1,0)</f>
        <v>1</v>
      </c>
      <c r="AH9" s="100">
        <f>IF(AH8&lt;=0,1,0)</f>
        <v>1</v>
      </c>
      <c r="AI9" s="100">
        <f t="shared" ref="AI9:AL9" si="28">IF(AI8&lt;=0,1,0)</f>
        <v>1</v>
      </c>
      <c r="AJ9" s="100">
        <f t="shared" si="28"/>
        <v>1</v>
      </c>
      <c r="AK9" s="100">
        <f t="shared" si="28"/>
        <v>1</v>
      </c>
      <c r="AL9" s="100">
        <f t="shared" si="28"/>
        <v>1</v>
      </c>
      <c r="AM9" s="100">
        <f t="shared" ref="AM9:BJ9" si="29">IF(AM8&lt;=0,1,0)</f>
        <v>0</v>
      </c>
      <c r="AN9" s="100">
        <f t="shared" si="29"/>
        <v>0</v>
      </c>
      <c r="AO9" s="100">
        <f t="shared" si="29"/>
        <v>0</v>
      </c>
      <c r="AP9" s="100">
        <f t="shared" si="29"/>
        <v>0</v>
      </c>
      <c r="AQ9" s="100">
        <f t="shared" si="29"/>
        <v>0</v>
      </c>
      <c r="AR9" s="100">
        <f t="shared" si="29"/>
        <v>0</v>
      </c>
      <c r="AS9" s="100">
        <f t="shared" si="29"/>
        <v>0</v>
      </c>
      <c r="AT9" s="100">
        <f t="shared" si="29"/>
        <v>0</v>
      </c>
      <c r="AU9" s="100">
        <f t="shared" si="29"/>
        <v>0</v>
      </c>
      <c r="AV9" s="100">
        <f t="shared" si="29"/>
        <v>0</v>
      </c>
      <c r="AW9" s="100">
        <f t="shared" si="29"/>
        <v>0</v>
      </c>
      <c r="AX9" s="100">
        <f t="shared" si="29"/>
        <v>0</v>
      </c>
      <c r="AY9" s="100">
        <f t="shared" si="29"/>
        <v>0</v>
      </c>
      <c r="AZ9" s="100">
        <f t="shared" si="29"/>
        <v>0</v>
      </c>
      <c r="BA9" s="100">
        <f t="shared" si="29"/>
        <v>0</v>
      </c>
      <c r="BB9" s="100">
        <f t="shared" si="29"/>
        <v>0</v>
      </c>
      <c r="BC9" s="100">
        <f t="shared" si="29"/>
        <v>0</v>
      </c>
      <c r="BD9" s="100">
        <f t="shared" si="29"/>
        <v>0</v>
      </c>
      <c r="BE9" s="100">
        <f t="shared" si="29"/>
        <v>0</v>
      </c>
      <c r="BF9" s="100">
        <f t="shared" si="29"/>
        <v>0</v>
      </c>
      <c r="BG9" s="100">
        <f t="shared" si="29"/>
        <v>0</v>
      </c>
      <c r="BH9" s="100">
        <f t="shared" si="29"/>
        <v>0</v>
      </c>
      <c r="BI9" s="100">
        <f t="shared" si="29"/>
        <v>0</v>
      </c>
      <c r="BJ9" s="100">
        <f t="shared" si="29"/>
        <v>0</v>
      </c>
    </row>
    <row r="10" spans="1:62">
      <c r="A10" s="91"/>
      <c r="B10" s="91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</row>
    <row r="11" spans="1:62">
      <c r="A11" s="15"/>
      <c r="B11" s="15"/>
      <c r="C11" s="15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</row>
    <row r="12" spans="1:62">
      <c r="A12" s="115" t="s">
        <v>27</v>
      </c>
      <c r="B12" s="84" t="s">
        <v>0</v>
      </c>
      <c r="C12" s="94">
        <v>1</v>
      </c>
      <c r="D12" s="94">
        <v>2</v>
      </c>
      <c r="E12" s="94">
        <v>3</v>
      </c>
      <c r="F12" s="94">
        <v>4</v>
      </c>
      <c r="G12" s="94">
        <v>5</v>
      </c>
      <c r="H12" s="94">
        <v>6</v>
      </c>
      <c r="I12" s="94">
        <v>7</v>
      </c>
      <c r="J12" s="94">
        <v>8</v>
      </c>
      <c r="K12" s="94">
        <v>9</v>
      </c>
      <c r="L12" s="94">
        <v>10</v>
      </c>
      <c r="M12" s="94">
        <v>11</v>
      </c>
      <c r="N12" s="94">
        <v>12</v>
      </c>
      <c r="O12" s="94">
        <v>13</v>
      </c>
      <c r="P12" s="94">
        <v>14</v>
      </c>
      <c r="Q12" s="94">
        <v>15</v>
      </c>
      <c r="R12" s="94">
        <v>16</v>
      </c>
      <c r="S12" s="94">
        <v>17</v>
      </c>
      <c r="T12" s="94">
        <v>18</v>
      </c>
      <c r="U12" s="94">
        <v>19</v>
      </c>
      <c r="V12" s="94">
        <v>20</v>
      </c>
      <c r="W12" s="94">
        <v>21</v>
      </c>
      <c r="X12" s="94">
        <v>22</v>
      </c>
      <c r="Y12" s="94">
        <v>23</v>
      </c>
      <c r="Z12" s="94">
        <v>24</v>
      </c>
      <c r="AA12" s="94">
        <v>25</v>
      </c>
      <c r="AB12" s="94">
        <v>26</v>
      </c>
      <c r="AC12" s="94">
        <v>27</v>
      </c>
      <c r="AD12" s="94">
        <v>28</v>
      </c>
      <c r="AE12" s="94">
        <v>29</v>
      </c>
      <c r="AF12" s="94">
        <v>30</v>
      </c>
      <c r="AG12" s="94">
        <v>31</v>
      </c>
      <c r="AH12" s="94">
        <v>32</v>
      </c>
      <c r="AI12" s="94">
        <v>33</v>
      </c>
      <c r="AJ12" s="94">
        <v>34</v>
      </c>
      <c r="AK12" s="94">
        <v>35</v>
      </c>
      <c r="AL12" s="94">
        <v>36</v>
      </c>
      <c r="AM12" s="94">
        <v>37</v>
      </c>
      <c r="AN12" s="94">
        <v>38</v>
      </c>
      <c r="AO12" s="94">
        <v>39</v>
      </c>
      <c r="AP12" s="94">
        <v>40</v>
      </c>
      <c r="AQ12" s="94">
        <v>41</v>
      </c>
      <c r="AR12" s="94">
        <v>42</v>
      </c>
      <c r="AS12" s="94">
        <v>43</v>
      </c>
      <c r="AT12" s="94">
        <v>44</v>
      </c>
      <c r="AU12" s="94">
        <v>45</v>
      </c>
      <c r="AV12" s="94">
        <v>46</v>
      </c>
      <c r="AW12" s="94">
        <v>47</v>
      </c>
      <c r="AX12" s="94">
        <v>48</v>
      </c>
      <c r="AY12" s="94">
        <v>49</v>
      </c>
      <c r="AZ12" s="94">
        <v>50</v>
      </c>
      <c r="BA12" s="94">
        <v>51</v>
      </c>
      <c r="BB12" s="94">
        <v>52</v>
      </c>
      <c r="BC12" s="94">
        <v>53</v>
      </c>
      <c r="BD12" s="94">
        <v>54</v>
      </c>
      <c r="BE12" s="94">
        <v>55</v>
      </c>
      <c r="BF12" s="94">
        <v>56</v>
      </c>
      <c r="BG12" s="94">
        <v>57</v>
      </c>
      <c r="BH12" s="94">
        <v>58</v>
      </c>
      <c r="BI12" s="94">
        <v>59</v>
      </c>
      <c r="BJ12" s="94">
        <v>60</v>
      </c>
    </row>
    <row r="13" spans="1:62">
      <c r="A13" s="19" t="s">
        <v>191</v>
      </c>
      <c r="B13" s="120"/>
      <c r="C13" s="288">
        <f>1/POWER(1+$B$23,C12)</f>
        <v>0.9884207332283691</v>
      </c>
      <c r="D13" s="288">
        <f t="shared" ref="D13:AH13" si="30">1/POWER(1+$B$23,D12)</f>
        <v>0.97697554587570679</v>
      </c>
      <c r="E13" s="288">
        <f t="shared" si="30"/>
        <v>0.96566288540065226</v>
      </c>
      <c r="F13" s="288">
        <f t="shared" si="30"/>
        <v>0.95448121723913526</v>
      </c>
      <c r="G13" s="288">
        <f t="shared" si="30"/>
        <v>0.94342902459621236</v>
      </c>
      <c r="H13" s="288">
        <f t="shared" si="30"/>
        <v>0.93250480824031312</v>
      </c>
      <c r="I13" s="288">
        <f t="shared" si="30"/>
        <v>0.9217070862998703</v>
      </c>
      <c r="J13" s="288">
        <f t="shared" si="30"/>
        <v>0.91103439406230124</v>
      </c>
      <c r="K13" s="288">
        <f t="shared" si="30"/>
        <v>0.90048528377532266</v>
      </c>
      <c r="L13" s="288">
        <f t="shared" si="30"/>
        <v>0.89005832445056055</v>
      </c>
      <c r="M13" s="288">
        <f t="shared" si="30"/>
        <v>0.87975210166943663</v>
      </c>
      <c r="N13" s="288">
        <f t="shared" si="30"/>
        <v>0.86956521739130321</v>
      </c>
      <c r="O13" s="288">
        <f t="shared" si="30"/>
        <v>0.85949628976379822</v>
      </c>
      <c r="P13" s="288">
        <f t="shared" si="30"/>
        <v>0.8495439529353962</v>
      </c>
      <c r="Q13" s="288">
        <f t="shared" si="30"/>
        <v>0.83970685687013147</v>
      </c>
      <c r="R13" s="288">
        <f t="shared" si="30"/>
        <v>0.82998366716446437</v>
      </c>
      <c r="S13" s="288">
        <f t="shared" si="30"/>
        <v>0.8203730648662706</v>
      </c>
      <c r="T13" s="288">
        <f t="shared" si="30"/>
        <v>0.81087374629592357</v>
      </c>
      <c r="U13" s="288">
        <f t="shared" si="30"/>
        <v>0.80148442286945143</v>
      </c>
      <c r="V13" s="288">
        <f t="shared" si="30"/>
        <v>0.7922038209237392</v>
      </c>
      <c r="W13" s="288">
        <f t="shared" si="30"/>
        <v>0.78303068154375799</v>
      </c>
      <c r="X13" s="288">
        <f t="shared" si="30"/>
        <v>0.77396376039179071</v>
      </c>
      <c r="Y13" s="288">
        <f t="shared" si="30"/>
        <v>0.76500182753863977</v>
      </c>
      <c r="Z13" s="288">
        <f t="shared" si="30"/>
        <v>0.75614366729678451</v>
      </c>
      <c r="AA13" s="288">
        <f t="shared" si="30"/>
        <v>0.74738807805547569</v>
      </c>
      <c r="AB13" s="288">
        <f t="shared" si="30"/>
        <v>0.73873387211773489</v>
      </c>
      <c r="AC13" s="288">
        <f t="shared" si="30"/>
        <v>0.73017987553924379</v>
      </c>
      <c r="AD13" s="288">
        <f t="shared" si="30"/>
        <v>0.7217249279690986</v>
      </c>
      <c r="AE13" s="288">
        <f t="shared" si="30"/>
        <v>0.71336788249240835</v>
      </c>
      <c r="AF13" s="288">
        <f t="shared" si="30"/>
        <v>0.70510760547471518</v>
      </c>
      <c r="AG13" s="288">
        <f t="shared" si="30"/>
        <v>0.69694297640821767</v>
      </c>
      <c r="AH13" s="288">
        <f t="shared" si="30"/>
        <v>0.6888728877597724</v>
      </c>
      <c r="AI13" s="288">
        <f t="shared" ref="AI13:AL13" si="31">1/POWER(1+$B$23,AI12)</f>
        <v>0.68089624482065814</v>
      </c>
      <c r="AJ13" s="288">
        <f t="shared" si="31"/>
        <v>0.67301196555807807</v>
      </c>
      <c r="AK13" s="288">
        <f t="shared" si="31"/>
        <v>0.66521898046838146</v>
      </c>
      <c r="AL13" s="288">
        <f t="shared" si="31"/>
        <v>0.65751623243198565</v>
      </c>
      <c r="AM13" s="288">
        <f t="shared" ref="AM13:BJ13" si="32">1/POWER(1+$B$23,AM12)</f>
        <v>0.64990267656997813</v>
      </c>
      <c r="AN13" s="288">
        <f t="shared" si="32"/>
        <v>0.64237728010237727</v>
      </c>
      <c r="AO13" s="288">
        <f t="shared" si="32"/>
        <v>0.63493902220803733</v>
      </c>
      <c r="AP13" s="288">
        <f t="shared" si="32"/>
        <v>0.62758689388617184</v>
      </c>
      <c r="AQ13" s="288">
        <f t="shared" si="32"/>
        <v>0.6203198978194846</v>
      </c>
      <c r="AR13" s="288">
        <f t="shared" si="32"/>
        <v>0.61313704823888204</v>
      </c>
      <c r="AS13" s="288">
        <f t="shared" si="32"/>
        <v>0.60603737078975362</v>
      </c>
      <c r="AT13" s="288">
        <f t="shared" si="32"/>
        <v>0.5990199023998013</v>
      </c>
      <c r="AU13" s="288">
        <f t="shared" si="32"/>
        <v>0.59208369114839765</v>
      </c>
      <c r="AV13" s="288">
        <f t="shared" si="32"/>
        <v>0.58522779613745846</v>
      </c>
      <c r="AW13" s="288">
        <f t="shared" si="32"/>
        <v>0.57845128736380924</v>
      </c>
      <c r="AX13" s="288">
        <f t="shared" si="32"/>
        <v>0.57175324559303031</v>
      </c>
      <c r="AY13" s="288">
        <f t="shared" si="32"/>
        <v>0.56513276223476283</v>
      </c>
      <c r="AZ13" s="288">
        <f t="shared" si="32"/>
        <v>0.55858893921945785</v>
      </c>
      <c r="BA13" s="288">
        <f t="shared" si="32"/>
        <v>0.55212088887655353</v>
      </c>
      <c r="BB13" s="288">
        <f t="shared" si="32"/>
        <v>0.54572773381406181</v>
      </c>
      <c r="BC13" s="288">
        <f t="shared" si="32"/>
        <v>0.53940860679955127</v>
      </c>
      <c r="BD13" s="288">
        <f t="shared" si="32"/>
        <v>0.53316265064250545</v>
      </c>
      <c r="BE13" s="288">
        <f t="shared" si="32"/>
        <v>0.5269890180780461</v>
      </c>
      <c r="BF13" s="288">
        <f t="shared" si="32"/>
        <v>0.52088687165200043</v>
      </c>
      <c r="BG13" s="288">
        <f t="shared" si="32"/>
        <v>0.51485538360730176</v>
      </c>
      <c r="BH13" s="288">
        <f t="shared" si="32"/>
        <v>0.50889373577170238</v>
      </c>
      <c r="BI13" s="288">
        <f t="shared" si="32"/>
        <v>0.50300111944679005</v>
      </c>
      <c r="BJ13" s="288">
        <f t="shared" si="32"/>
        <v>0.4971767352982866</v>
      </c>
    </row>
    <row r="14" spans="1:62">
      <c r="A14" s="19" t="s">
        <v>192</v>
      </c>
      <c r="B14" s="120">
        <f>SUM(C14:BJ14)</f>
        <v>90122.708551577496</v>
      </c>
      <c r="C14" s="100">
        <f t="shared" ref="C14:AH14" si="33">C6*C13</f>
        <v>-173535.24762474361</v>
      </c>
      <c r="D14" s="100">
        <f t="shared" si="33"/>
        <v>92316.139488685178</v>
      </c>
      <c r="E14" s="100">
        <f t="shared" si="33"/>
        <v>-22988.492449018879</v>
      </c>
      <c r="F14" s="100">
        <f t="shared" si="33"/>
        <v>-76213.441387398503</v>
      </c>
      <c r="G14" s="100">
        <f t="shared" si="33"/>
        <v>-20782.559523737211</v>
      </c>
      <c r="H14" s="100">
        <f t="shared" si="33"/>
        <v>-19710.862333145658</v>
      </c>
      <c r="I14" s="100">
        <f t="shared" si="33"/>
        <v>-18659.461523887538</v>
      </c>
      <c r="J14" s="100">
        <f t="shared" si="33"/>
        <v>-17628.229000938805</v>
      </c>
      <c r="K14" s="100">
        <f t="shared" si="33"/>
        <v>-68525.278125882978</v>
      </c>
      <c r="L14" s="100">
        <f t="shared" si="33"/>
        <v>-15624.667935167416</v>
      </c>
      <c r="M14" s="100">
        <f t="shared" si="33"/>
        <v>-14651.824139968045</v>
      </c>
      <c r="N14" s="100">
        <f t="shared" si="33"/>
        <v>-13697.757719937674</v>
      </c>
      <c r="O14" s="100">
        <f t="shared" si="33"/>
        <v>192361.27107127898</v>
      </c>
      <c r="P14" s="100">
        <f t="shared" si="33"/>
        <v>89617.933195850186</v>
      </c>
      <c r="Q14" s="100">
        <f t="shared" si="33"/>
        <v>-12326.753505394374</v>
      </c>
      <c r="R14" s="100">
        <f t="shared" si="33"/>
        <v>-60117.395384791875</v>
      </c>
      <c r="S14" s="100">
        <f t="shared" si="33"/>
        <v>-10549.523700302483</v>
      </c>
      <c r="T14" s="100">
        <f t="shared" si="33"/>
        <v>-9687.1204410814735</v>
      </c>
      <c r="U14" s="100">
        <f t="shared" si="33"/>
        <v>-8841.8017725182635</v>
      </c>
      <c r="V14" s="100">
        <f t="shared" si="33"/>
        <v>-8013.2218664572811</v>
      </c>
      <c r="W14" s="100">
        <f t="shared" si="33"/>
        <v>-53712.027585128752</v>
      </c>
      <c r="X14" s="100">
        <f t="shared" si="33"/>
        <v>-6405.6285932127712</v>
      </c>
      <c r="Y14" s="100">
        <f t="shared" si="33"/>
        <v>-5673.4288868579179</v>
      </c>
      <c r="Z14" s="100">
        <f t="shared" si="33"/>
        <v>-5034.8218332614188</v>
      </c>
      <c r="AA14" s="100">
        <f t="shared" si="33"/>
        <v>174073.85514818915</v>
      </c>
      <c r="AB14" s="100">
        <f t="shared" si="33"/>
        <v>81991.258771704903</v>
      </c>
      <c r="AC14" s="100">
        <f t="shared" si="33"/>
        <v>-9046.5599256043533</v>
      </c>
      <c r="AD14" s="100">
        <f t="shared" si="33"/>
        <v>-51894.608858512162</v>
      </c>
      <c r="AE14" s="100">
        <f t="shared" si="33"/>
        <v>-7507.8669163729546</v>
      </c>
      <c r="AF14" s="100">
        <f t="shared" si="33"/>
        <v>-6761.401963105609</v>
      </c>
      <c r="AG14" s="100">
        <f t="shared" si="33"/>
        <v>-6029.9673215178291</v>
      </c>
      <c r="AH14" s="100">
        <f t="shared" si="33"/>
        <v>-5313.257323632829</v>
      </c>
      <c r="AI14" s="100">
        <f t="shared" ref="AI14:AL14" si="34">AI6*AI13</f>
        <v>-46285.250537829765</v>
      </c>
      <c r="AJ14" s="100">
        <f t="shared" si="34"/>
        <v>-4149.5524223946386</v>
      </c>
      <c r="AK14" s="100">
        <f t="shared" si="34"/>
        <v>-3586.1478765867791</v>
      </c>
      <c r="AL14" s="100">
        <f t="shared" si="34"/>
        <v>-3034.1468552107308</v>
      </c>
      <c r="AM14" s="100">
        <f t="shared" ref="AM14:BJ14" si="35">AM6*AM13</f>
        <v>157654.05213956744</v>
      </c>
      <c r="AN14" s="100">
        <f t="shared" si="35"/>
        <v>75124.502020555577</v>
      </c>
      <c r="AO14" s="100">
        <f t="shared" si="35"/>
        <v>-6141.934423888717</v>
      </c>
      <c r="AP14" s="100">
        <f t="shared" si="35"/>
        <v>-44560.580063613415</v>
      </c>
      <c r="AQ14" s="100">
        <f t="shared" si="35"/>
        <v>-4815.1732789371117</v>
      </c>
      <c r="AR14" s="100">
        <f t="shared" si="35"/>
        <v>-4270.6134715751159</v>
      </c>
      <c r="AS14" s="100">
        <f t="shared" si="35"/>
        <v>-3743.9163551951228</v>
      </c>
      <c r="AT14" s="100">
        <f t="shared" si="35"/>
        <v>-3227.9324485278862</v>
      </c>
      <c r="AU14" s="100">
        <f t="shared" si="35"/>
        <v>-39660.148711878166</v>
      </c>
      <c r="AV14" s="100">
        <f t="shared" si="35"/>
        <v>-2227.2375200015754</v>
      </c>
      <c r="AW14" s="100">
        <f t="shared" si="35"/>
        <v>-1742.2469772376</v>
      </c>
      <c r="AX14" s="100">
        <f t="shared" si="35"/>
        <v>-1267.2631669612424</v>
      </c>
      <c r="AY14" s="100">
        <f t="shared" si="35"/>
        <v>142639.54453152081</v>
      </c>
      <c r="AZ14" s="100">
        <f t="shared" si="35"/>
        <v>68673.426618866913</v>
      </c>
      <c r="BA14" s="100">
        <f t="shared" si="35"/>
        <v>-3958.4147089877983</v>
      </c>
      <c r="BB14" s="100">
        <f t="shared" si="35"/>
        <v>-38339.459374655315</v>
      </c>
      <c r="BC14" s="100">
        <f t="shared" si="35"/>
        <v>-3001.192753562761</v>
      </c>
      <c r="BD14" s="100">
        <f t="shared" si="35"/>
        <v>-2537.0567615751506</v>
      </c>
      <c r="BE14" s="100">
        <f t="shared" si="35"/>
        <v>-2082.4414526448313</v>
      </c>
      <c r="BF14" s="100">
        <f t="shared" si="35"/>
        <v>-1637.1105605642044</v>
      </c>
      <c r="BG14" s="100">
        <f t="shared" si="35"/>
        <v>-34052.332552124324</v>
      </c>
      <c r="BH14" s="100">
        <f t="shared" si="35"/>
        <v>-773.92983478991516</v>
      </c>
      <c r="BI14" s="100">
        <f t="shared" si="35"/>
        <v>-355.7073622097285</v>
      </c>
      <c r="BJ14" s="100">
        <f t="shared" si="35"/>
        <v>53.722677888955502</v>
      </c>
    </row>
    <row r="15" spans="1:62">
      <c r="A15" s="19" t="s">
        <v>193</v>
      </c>
      <c r="B15" s="120">
        <f>SUM(C15:BJ15)</f>
        <v>1444892.5216475911</v>
      </c>
      <c r="C15" s="100">
        <f t="shared" ref="C15:AH15" si="36">C7*C13</f>
        <v>1401990.6463884809</v>
      </c>
      <c r="D15" s="100">
        <f t="shared" si="36"/>
        <v>8781.3981477719099</v>
      </c>
      <c r="E15" s="100">
        <f t="shared" si="36"/>
        <v>8679.7159959909532</v>
      </c>
      <c r="F15" s="100">
        <f t="shared" si="36"/>
        <v>8579.2112489713818</v>
      </c>
      <c r="G15" s="100">
        <f t="shared" si="36"/>
        <v>8479.8702732293659</v>
      </c>
      <c r="H15" s="100">
        <f t="shared" si="36"/>
        <v>8381.6795931468187</v>
      </c>
      <c r="I15" s="100">
        <f t="shared" si="36"/>
        <v>0</v>
      </c>
      <c r="J15" s="100">
        <f t="shared" si="36"/>
        <v>0</v>
      </c>
      <c r="K15" s="100">
        <f t="shared" si="36"/>
        <v>0</v>
      </c>
      <c r="L15" s="100">
        <f t="shared" si="36"/>
        <v>0</v>
      </c>
      <c r="M15" s="100">
        <f t="shared" si="36"/>
        <v>0</v>
      </c>
      <c r="N15" s="100">
        <f t="shared" si="36"/>
        <v>0</v>
      </c>
      <c r="O15" s="100">
        <f t="shared" si="36"/>
        <v>0</v>
      </c>
      <c r="P15" s="100">
        <f t="shared" si="36"/>
        <v>0</v>
      </c>
      <c r="Q15" s="100">
        <f t="shared" si="36"/>
        <v>0</v>
      </c>
      <c r="R15" s="100">
        <f t="shared" si="36"/>
        <v>0</v>
      </c>
      <c r="S15" s="100">
        <f t="shared" si="36"/>
        <v>0</v>
      </c>
      <c r="T15" s="100">
        <f t="shared" si="36"/>
        <v>0</v>
      </c>
      <c r="U15" s="100">
        <f t="shared" si="36"/>
        <v>0</v>
      </c>
      <c r="V15" s="100">
        <f t="shared" si="36"/>
        <v>0</v>
      </c>
      <c r="W15" s="100">
        <f t="shared" si="36"/>
        <v>0</v>
      </c>
      <c r="X15" s="100">
        <f t="shared" si="36"/>
        <v>0</v>
      </c>
      <c r="Y15" s="100">
        <f t="shared" si="36"/>
        <v>0</v>
      </c>
      <c r="Z15" s="100">
        <f t="shared" si="36"/>
        <v>0</v>
      </c>
      <c r="AA15" s="100">
        <f t="shared" si="36"/>
        <v>0</v>
      </c>
      <c r="AB15" s="100">
        <f t="shared" si="36"/>
        <v>0</v>
      </c>
      <c r="AC15" s="100">
        <f t="shared" si="36"/>
        <v>0</v>
      </c>
      <c r="AD15" s="100">
        <f t="shared" si="36"/>
        <v>0</v>
      </c>
      <c r="AE15" s="100">
        <f t="shared" si="36"/>
        <v>0</v>
      </c>
      <c r="AF15" s="100">
        <f t="shared" si="36"/>
        <v>0</v>
      </c>
      <c r="AG15" s="100">
        <f t="shared" si="36"/>
        <v>0</v>
      </c>
      <c r="AH15" s="100">
        <f t="shared" si="36"/>
        <v>0</v>
      </c>
      <c r="AI15" s="100">
        <f t="shared" ref="AI15:AL15" si="37">AI7*AI13</f>
        <v>0</v>
      </c>
      <c r="AJ15" s="100">
        <f t="shared" si="37"/>
        <v>0</v>
      </c>
      <c r="AK15" s="100">
        <f t="shared" si="37"/>
        <v>0</v>
      </c>
      <c r="AL15" s="100">
        <f t="shared" si="37"/>
        <v>0</v>
      </c>
      <c r="AM15" s="100">
        <f t="shared" ref="AM15:BJ15" si="38">AM7*AM13</f>
        <v>0</v>
      </c>
      <c r="AN15" s="100">
        <f t="shared" si="38"/>
        <v>0</v>
      </c>
      <c r="AO15" s="100">
        <f t="shared" si="38"/>
        <v>0</v>
      </c>
      <c r="AP15" s="100">
        <f t="shared" si="38"/>
        <v>0</v>
      </c>
      <c r="AQ15" s="100">
        <f t="shared" si="38"/>
        <v>0</v>
      </c>
      <c r="AR15" s="100">
        <f t="shared" si="38"/>
        <v>0</v>
      </c>
      <c r="AS15" s="100">
        <f t="shared" si="38"/>
        <v>0</v>
      </c>
      <c r="AT15" s="100">
        <f t="shared" si="38"/>
        <v>0</v>
      </c>
      <c r="AU15" s="100">
        <f t="shared" si="38"/>
        <v>0</v>
      </c>
      <c r="AV15" s="100">
        <f t="shared" si="38"/>
        <v>0</v>
      </c>
      <c r="AW15" s="100">
        <f t="shared" si="38"/>
        <v>0</v>
      </c>
      <c r="AX15" s="100">
        <f t="shared" si="38"/>
        <v>0</v>
      </c>
      <c r="AY15" s="100">
        <f t="shared" si="38"/>
        <v>0</v>
      </c>
      <c r="AZ15" s="100">
        <f t="shared" si="38"/>
        <v>0</v>
      </c>
      <c r="BA15" s="100">
        <f t="shared" si="38"/>
        <v>0</v>
      </c>
      <c r="BB15" s="100">
        <f t="shared" si="38"/>
        <v>0</v>
      </c>
      <c r="BC15" s="100">
        <f t="shared" si="38"/>
        <v>0</v>
      </c>
      <c r="BD15" s="100">
        <f t="shared" si="38"/>
        <v>0</v>
      </c>
      <c r="BE15" s="100">
        <f t="shared" si="38"/>
        <v>0</v>
      </c>
      <c r="BF15" s="100">
        <f t="shared" si="38"/>
        <v>0</v>
      </c>
      <c r="BG15" s="100">
        <f t="shared" si="38"/>
        <v>0</v>
      </c>
      <c r="BH15" s="100">
        <f t="shared" si="38"/>
        <v>0</v>
      </c>
      <c r="BI15" s="100">
        <f t="shared" si="38"/>
        <v>0</v>
      </c>
      <c r="BJ15" s="100">
        <f t="shared" si="38"/>
        <v>0</v>
      </c>
    </row>
    <row r="16" spans="1:62">
      <c r="A16" s="86" t="s">
        <v>194</v>
      </c>
      <c r="B16" s="120">
        <f>BJ16</f>
        <v>90122.708551577496</v>
      </c>
      <c r="C16" s="57">
        <f>C14</f>
        <v>-173535.24762474361</v>
      </c>
      <c r="D16" s="57">
        <f t="shared" ref="D16:AI16" si="39">C16+D14</f>
        <v>-81219.108136058436</v>
      </c>
      <c r="E16" s="57">
        <f t="shared" si="39"/>
        <v>-104207.60058507731</v>
      </c>
      <c r="F16" s="57">
        <f t="shared" si="39"/>
        <v>-180421.04197247582</v>
      </c>
      <c r="G16" s="57">
        <f t="shared" si="39"/>
        <v>-201203.60149621303</v>
      </c>
      <c r="H16" s="57">
        <f t="shared" si="39"/>
        <v>-220914.46382935869</v>
      </c>
      <c r="I16" s="57">
        <f t="shared" si="39"/>
        <v>-239573.92535324622</v>
      </c>
      <c r="J16" s="57">
        <f t="shared" si="39"/>
        <v>-257202.15435418501</v>
      </c>
      <c r="K16" s="57">
        <f t="shared" si="39"/>
        <v>-325727.432480068</v>
      </c>
      <c r="L16" s="57">
        <f t="shared" si="39"/>
        <v>-341352.10041523544</v>
      </c>
      <c r="M16" s="57">
        <f t="shared" si="39"/>
        <v>-356003.92455520347</v>
      </c>
      <c r="N16" s="57">
        <f t="shared" si="39"/>
        <v>-369701.68227514112</v>
      </c>
      <c r="O16" s="57">
        <f t="shared" si="39"/>
        <v>-177340.41120386214</v>
      </c>
      <c r="P16" s="57">
        <f t="shared" si="39"/>
        <v>-87722.478008011953</v>
      </c>
      <c r="Q16" s="57">
        <f t="shared" si="39"/>
        <v>-100049.23151340632</v>
      </c>
      <c r="R16" s="57">
        <f t="shared" si="39"/>
        <v>-160166.62689819821</v>
      </c>
      <c r="S16" s="57">
        <f t="shared" si="39"/>
        <v>-170716.15059850071</v>
      </c>
      <c r="T16" s="57">
        <f t="shared" si="39"/>
        <v>-180403.27103958218</v>
      </c>
      <c r="U16" s="57">
        <f t="shared" si="39"/>
        <v>-189245.07281210044</v>
      </c>
      <c r="V16" s="57">
        <f t="shared" si="39"/>
        <v>-197258.29467855772</v>
      </c>
      <c r="W16" s="57">
        <f t="shared" si="39"/>
        <v>-250970.32226368648</v>
      </c>
      <c r="X16" s="57">
        <f t="shared" si="39"/>
        <v>-257375.95085689926</v>
      </c>
      <c r="Y16" s="57">
        <f t="shared" si="39"/>
        <v>-263049.37974375719</v>
      </c>
      <c r="Z16" s="57">
        <f t="shared" si="39"/>
        <v>-268084.2015770186</v>
      </c>
      <c r="AA16" s="57">
        <f t="shared" si="39"/>
        <v>-94010.346428829449</v>
      </c>
      <c r="AB16" s="57">
        <f t="shared" si="39"/>
        <v>-12019.087657124546</v>
      </c>
      <c r="AC16" s="57">
        <f t="shared" si="39"/>
        <v>-21065.6475827289</v>
      </c>
      <c r="AD16" s="57">
        <f t="shared" si="39"/>
        <v>-72960.256441241057</v>
      </c>
      <c r="AE16" s="57">
        <f t="shared" si="39"/>
        <v>-80468.123357614008</v>
      </c>
      <c r="AF16" s="57">
        <f t="shared" si="39"/>
        <v>-87229.525320719622</v>
      </c>
      <c r="AG16" s="57">
        <f t="shared" si="39"/>
        <v>-93259.492642237456</v>
      </c>
      <c r="AH16" s="57">
        <f t="shared" si="39"/>
        <v>-98572.749965870287</v>
      </c>
      <c r="AI16" s="57">
        <f t="shared" si="39"/>
        <v>-144858.00050370005</v>
      </c>
      <c r="AJ16" s="57">
        <f t="shared" ref="AJ16:AL16" si="40">AI16+AJ14</f>
        <v>-149007.55292609468</v>
      </c>
      <c r="AK16" s="57">
        <f t="shared" si="40"/>
        <v>-152593.70080268144</v>
      </c>
      <c r="AL16" s="57">
        <f t="shared" si="40"/>
        <v>-155627.84765789218</v>
      </c>
      <c r="AM16" s="57">
        <f t="shared" ref="AM16" si="41">AL16+AM14</f>
        <v>2026.2044816752605</v>
      </c>
      <c r="AN16" s="57">
        <f t="shared" ref="AN16" si="42">AM16+AN14</f>
        <v>77150.706502230838</v>
      </c>
      <c r="AO16" s="57">
        <f t="shared" ref="AO16" si="43">AN16+AO14</f>
        <v>71008.772078342125</v>
      </c>
      <c r="AP16" s="57">
        <f t="shared" ref="AP16" si="44">AO16+AP14</f>
        <v>26448.192014728709</v>
      </c>
      <c r="AQ16" s="57">
        <f t="shared" ref="AQ16" si="45">AP16+AQ14</f>
        <v>21633.018735791597</v>
      </c>
      <c r="AR16" s="57">
        <f t="shared" ref="AR16" si="46">AQ16+AR14</f>
        <v>17362.405264216482</v>
      </c>
      <c r="AS16" s="57">
        <f t="shared" ref="AS16" si="47">AR16+AS14</f>
        <v>13618.48890902136</v>
      </c>
      <c r="AT16" s="57">
        <f t="shared" ref="AT16" si="48">AS16+AT14</f>
        <v>10390.556460493473</v>
      </c>
      <c r="AU16" s="57">
        <f t="shared" ref="AU16" si="49">AT16+AU14</f>
        <v>-29269.592251384693</v>
      </c>
      <c r="AV16" s="57">
        <f t="shared" ref="AV16" si="50">AU16+AV14</f>
        <v>-31496.829771386267</v>
      </c>
      <c r="AW16" s="57">
        <f t="shared" ref="AW16" si="51">AV16+AW14</f>
        <v>-33239.076748623869</v>
      </c>
      <c r="AX16" s="57">
        <f t="shared" ref="AX16" si="52">AW16+AX14</f>
        <v>-34506.339915585115</v>
      </c>
      <c r="AY16" s="57">
        <f t="shared" ref="AY16" si="53">AX16+AY14</f>
        <v>108133.20461593568</v>
      </c>
      <c r="AZ16" s="57">
        <f t="shared" ref="AZ16" si="54">AY16+AZ14</f>
        <v>176806.6312348026</v>
      </c>
      <c r="BA16" s="57">
        <f t="shared" ref="BA16" si="55">AZ16+BA14</f>
        <v>172848.21652581479</v>
      </c>
      <c r="BB16" s="57">
        <f t="shared" ref="BB16" si="56">BA16+BB14</f>
        <v>134508.75715115946</v>
      </c>
      <c r="BC16" s="57">
        <f t="shared" ref="BC16" si="57">BB16+BC14</f>
        <v>131507.5643975967</v>
      </c>
      <c r="BD16" s="57">
        <f t="shared" ref="BD16" si="58">BC16+BD14</f>
        <v>128970.50763602155</v>
      </c>
      <c r="BE16" s="57">
        <f t="shared" ref="BE16" si="59">BD16+BE14</f>
        <v>126888.06618337671</v>
      </c>
      <c r="BF16" s="57">
        <f t="shared" ref="BF16" si="60">BE16+BF14</f>
        <v>125250.9556228125</v>
      </c>
      <c r="BG16" s="57">
        <f t="shared" ref="BG16" si="61">BF16+BG14</f>
        <v>91198.623070688176</v>
      </c>
      <c r="BH16" s="57">
        <f t="shared" ref="BH16" si="62">BG16+BH14</f>
        <v>90424.693235898259</v>
      </c>
      <c r="BI16" s="57">
        <f t="shared" ref="BI16" si="63">BH16+BI14</f>
        <v>90068.985873688536</v>
      </c>
      <c r="BJ16" s="57">
        <f t="shared" ref="BJ16" si="64">BI16+BJ14</f>
        <v>90122.708551577496</v>
      </c>
    </row>
    <row r="17" spans="1:62">
      <c r="A17" s="19" t="s">
        <v>195</v>
      </c>
      <c r="B17" s="120">
        <f>SUM(C17:BJ17)</f>
        <v>40</v>
      </c>
      <c r="C17" s="100">
        <f>IF(C16&gt;0,0,1)</f>
        <v>1</v>
      </c>
      <c r="D17" s="100">
        <f t="shared" ref="D17:AL17" si="65">IF(D16&gt;0,0,1)</f>
        <v>1</v>
      </c>
      <c r="E17" s="100">
        <f t="shared" si="65"/>
        <v>1</v>
      </c>
      <c r="F17" s="100">
        <f t="shared" si="65"/>
        <v>1</v>
      </c>
      <c r="G17" s="100">
        <f t="shared" si="65"/>
        <v>1</v>
      </c>
      <c r="H17" s="100">
        <f t="shared" si="65"/>
        <v>1</v>
      </c>
      <c r="I17" s="100">
        <f t="shared" si="65"/>
        <v>1</v>
      </c>
      <c r="J17" s="100">
        <f t="shared" si="65"/>
        <v>1</v>
      </c>
      <c r="K17" s="100">
        <f t="shared" si="65"/>
        <v>1</v>
      </c>
      <c r="L17" s="100">
        <f t="shared" si="65"/>
        <v>1</v>
      </c>
      <c r="M17" s="100">
        <f t="shared" si="65"/>
        <v>1</v>
      </c>
      <c r="N17" s="100">
        <f t="shared" si="65"/>
        <v>1</v>
      </c>
      <c r="O17" s="100">
        <f t="shared" si="65"/>
        <v>1</v>
      </c>
      <c r="P17" s="100">
        <f t="shared" si="65"/>
        <v>1</v>
      </c>
      <c r="Q17" s="100">
        <f t="shared" si="65"/>
        <v>1</v>
      </c>
      <c r="R17" s="100">
        <f t="shared" si="65"/>
        <v>1</v>
      </c>
      <c r="S17" s="100">
        <f t="shared" si="65"/>
        <v>1</v>
      </c>
      <c r="T17" s="100">
        <f t="shared" si="65"/>
        <v>1</v>
      </c>
      <c r="U17" s="100">
        <f t="shared" si="65"/>
        <v>1</v>
      </c>
      <c r="V17" s="100">
        <f t="shared" si="65"/>
        <v>1</v>
      </c>
      <c r="W17" s="100">
        <f t="shared" si="65"/>
        <v>1</v>
      </c>
      <c r="X17" s="100">
        <f t="shared" si="65"/>
        <v>1</v>
      </c>
      <c r="Y17" s="100">
        <f t="shared" si="65"/>
        <v>1</v>
      </c>
      <c r="Z17" s="100">
        <f t="shared" si="65"/>
        <v>1</v>
      </c>
      <c r="AA17" s="100">
        <f t="shared" si="65"/>
        <v>1</v>
      </c>
      <c r="AB17" s="100">
        <f t="shared" si="65"/>
        <v>1</v>
      </c>
      <c r="AC17" s="100">
        <f t="shared" si="65"/>
        <v>1</v>
      </c>
      <c r="AD17" s="100">
        <f t="shared" si="65"/>
        <v>1</v>
      </c>
      <c r="AE17" s="100">
        <f t="shared" si="65"/>
        <v>1</v>
      </c>
      <c r="AF17" s="100">
        <f t="shared" si="65"/>
        <v>1</v>
      </c>
      <c r="AG17" s="100">
        <f t="shared" si="65"/>
        <v>1</v>
      </c>
      <c r="AH17" s="100">
        <f t="shared" si="65"/>
        <v>1</v>
      </c>
      <c r="AI17" s="100">
        <f t="shared" si="65"/>
        <v>1</v>
      </c>
      <c r="AJ17" s="100">
        <f t="shared" si="65"/>
        <v>1</v>
      </c>
      <c r="AK17" s="100">
        <f t="shared" si="65"/>
        <v>1</v>
      </c>
      <c r="AL17" s="100">
        <f t="shared" si="65"/>
        <v>1</v>
      </c>
      <c r="AM17" s="100">
        <f t="shared" ref="AM17:BJ17" si="66">IF(AM16&gt;0,0,1)</f>
        <v>0</v>
      </c>
      <c r="AN17" s="100">
        <f t="shared" si="66"/>
        <v>0</v>
      </c>
      <c r="AO17" s="100">
        <f t="shared" si="66"/>
        <v>0</v>
      </c>
      <c r="AP17" s="100">
        <f t="shared" si="66"/>
        <v>0</v>
      </c>
      <c r="AQ17" s="100">
        <f t="shared" si="66"/>
        <v>0</v>
      </c>
      <c r="AR17" s="100">
        <f t="shared" si="66"/>
        <v>0</v>
      </c>
      <c r="AS17" s="100">
        <f t="shared" si="66"/>
        <v>0</v>
      </c>
      <c r="AT17" s="100">
        <f t="shared" si="66"/>
        <v>0</v>
      </c>
      <c r="AU17" s="100">
        <f t="shared" si="66"/>
        <v>1</v>
      </c>
      <c r="AV17" s="100">
        <f t="shared" si="66"/>
        <v>1</v>
      </c>
      <c r="AW17" s="100">
        <f t="shared" si="66"/>
        <v>1</v>
      </c>
      <c r="AX17" s="100">
        <f t="shared" si="66"/>
        <v>1</v>
      </c>
      <c r="AY17" s="100">
        <f t="shared" si="66"/>
        <v>0</v>
      </c>
      <c r="AZ17" s="100">
        <f t="shared" si="66"/>
        <v>0</v>
      </c>
      <c r="BA17" s="100">
        <f t="shared" si="66"/>
        <v>0</v>
      </c>
      <c r="BB17" s="100">
        <f t="shared" si="66"/>
        <v>0</v>
      </c>
      <c r="BC17" s="100">
        <f t="shared" si="66"/>
        <v>0</v>
      </c>
      <c r="BD17" s="100">
        <f t="shared" si="66"/>
        <v>0</v>
      </c>
      <c r="BE17" s="100">
        <f t="shared" si="66"/>
        <v>0</v>
      </c>
      <c r="BF17" s="100">
        <f t="shared" si="66"/>
        <v>0</v>
      </c>
      <c r="BG17" s="100">
        <f t="shared" si="66"/>
        <v>0</v>
      </c>
      <c r="BH17" s="100">
        <f t="shared" si="66"/>
        <v>0</v>
      </c>
      <c r="BI17" s="100">
        <f t="shared" si="66"/>
        <v>0</v>
      </c>
      <c r="BJ17" s="100">
        <f t="shared" si="66"/>
        <v>0</v>
      </c>
    </row>
    <row r="18" spans="1:6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</row>
    <row r="19" spans="1:62">
      <c r="A19" s="15"/>
      <c r="B19" s="15"/>
      <c r="C19" s="15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</row>
    <row r="20" spans="1:62">
      <c r="A20" s="15"/>
      <c r="B20" s="15"/>
      <c r="C20" s="15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</row>
    <row r="21" spans="1:62">
      <c r="A21" s="84" t="s">
        <v>26</v>
      </c>
      <c r="B21" s="84" t="s">
        <v>3</v>
      </c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</row>
    <row r="22" spans="1:62">
      <c r="A22" s="19" t="s">
        <v>196</v>
      </c>
      <c r="B22" s="27">
        <f>Dr!B30</f>
        <v>0.15</v>
      </c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</row>
    <row r="23" spans="1:62">
      <c r="A23" s="19" t="s">
        <v>197</v>
      </c>
      <c r="B23" s="122">
        <f>POWER(B22+1,1/12)-1</f>
        <v>1.171491691985338E-2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</row>
    <row r="24" spans="1:62">
      <c r="A24" s="19" t="s">
        <v>198</v>
      </c>
      <c r="B24" s="123">
        <f>B9</f>
        <v>34</v>
      </c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</row>
    <row r="25" spans="1:62">
      <c r="A25" s="19" t="s">
        <v>199</v>
      </c>
      <c r="B25" s="124">
        <f>B24/12</f>
        <v>2.8333333333333335</v>
      </c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</row>
    <row r="26" spans="1:62">
      <c r="A26" s="19" t="s">
        <v>200</v>
      </c>
      <c r="B26" s="123">
        <f>B17</f>
        <v>40</v>
      </c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</row>
    <row r="27" spans="1:62">
      <c r="A27" s="19" t="s">
        <v>201</v>
      </c>
      <c r="B27" s="124">
        <f>B26/12</f>
        <v>3.3333333333333335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</row>
    <row r="28" spans="1:62">
      <c r="A28" s="19" t="s">
        <v>202</v>
      </c>
      <c r="B28" s="125">
        <f>B34/B15+1</f>
        <v>1.0623732957305445</v>
      </c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</row>
    <row r="29" spans="1:62">
      <c r="A29" s="19" t="s">
        <v>203</v>
      </c>
      <c r="B29" s="125">
        <f>B28-1</f>
        <v>6.2373295730544509E-2</v>
      </c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</row>
    <row r="30" spans="1:62">
      <c r="A30" s="19" t="s">
        <v>204</v>
      </c>
      <c r="B30" s="268">
        <f>IRR(C6:BJ6)</f>
        <v>2.2580345382008593E-2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</row>
    <row r="31" spans="1:62">
      <c r="A31" s="19" t="s">
        <v>205</v>
      </c>
      <c r="B31" s="126">
        <f>POWER(1+B30,12)-1</f>
        <v>0.30728203426071898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</row>
    <row r="32" spans="1:62" hidden="1">
      <c r="A32" s="19"/>
      <c r="B32" s="268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</row>
    <row r="33" spans="1:62" hidden="1">
      <c r="A33" s="19"/>
      <c r="B33" s="126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</row>
    <row r="34" spans="1:62">
      <c r="A34" s="19" t="s">
        <v>206</v>
      </c>
      <c r="B34" s="123">
        <f>BJ16</f>
        <v>90122.708551577496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</row>
    <row r="35" spans="1:62">
      <c r="A35" s="19" t="s">
        <v>207</v>
      </c>
      <c r="B35" s="123">
        <f>B42</f>
        <v>855525.97254249221</v>
      </c>
      <c r="C35" s="91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</row>
    <row r="36" spans="1:62">
      <c r="A36" s="91"/>
      <c r="B36" s="91"/>
      <c r="C36" s="213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</row>
    <row r="37" spans="1:62"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</row>
    <row r="38" spans="1:62">
      <c r="A38" s="84" t="s">
        <v>39</v>
      </c>
      <c r="B38" s="8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</row>
    <row r="39" spans="1:62">
      <c r="A39" s="19" t="s">
        <v>208</v>
      </c>
      <c r="B39" s="123">
        <f>SUM(AA14:AL14)</f>
        <v>112456.3539191264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</row>
    <row r="40" spans="1:62">
      <c r="A40" s="19" t="s">
        <v>209</v>
      </c>
      <c r="B40" s="126">
        <v>0.01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</row>
    <row r="41" spans="1:62">
      <c r="A41" s="19" t="s">
        <v>210</v>
      </c>
      <c r="B41" s="123">
        <f>AVERAGE(B39/(B22-B40),'Інвестиційний план'!B15*'Інвестиційний аналіз'!BJ13)</f>
        <v>765403.26399091468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</row>
    <row r="42" spans="1:62">
      <c r="A42" s="19" t="s">
        <v>211</v>
      </c>
      <c r="B42" s="123">
        <f>B34+B41</f>
        <v>855525.97254249221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</row>
    <row r="43" spans="1:62"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</row>
    <row r="44" spans="1:62"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</row>
    <row r="45" spans="1:62">
      <c r="A45" s="119"/>
      <c r="B45" s="127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</row>
    <row r="46" spans="1:62">
      <c r="A46" s="15"/>
      <c r="B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</row>
    <row r="47" spans="1:62">
      <c r="A47" s="84" t="s">
        <v>21</v>
      </c>
      <c r="B47" s="8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</row>
    <row r="48" spans="1:62">
      <c r="A48" s="19" t="s">
        <v>22</v>
      </c>
      <c r="B48" s="128" t="s">
        <v>23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</row>
    <row r="49" spans="1:62">
      <c r="A49" s="19" t="s">
        <v>24</v>
      </c>
      <c r="B49" s="128" t="s">
        <v>25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</row>
    <row r="50" spans="1:62">
      <c r="A50" s="19" t="s">
        <v>20</v>
      </c>
      <c r="B50" s="128" t="s">
        <v>23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</row>
    <row r="51" spans="1:6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</row>
    <row r="52" spans="1:6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</row>
    <row r="53" spans="1:6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</row>
    <row r="54" spans="1:6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</row>
    <row r="55" spans="1:6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</row>
    <row r="56" spans="1:62">
      <c r="A56" s="90" t="s">
        <v>36</v>
      </c>
      <c r="B56" s="98" t="s">
        <v>0</v>
      </c>
      <c r="C56" s="95">
        <v>1</v>
      </c>
      <c r="D56" s="95">
        <v>2</v>
      </c>
      <c r="E56" s="95">
        <v>3</v>
      </c>
      <c r="F56" s="95">
        <v>4</v>
      </c>
      <c r="G56" s="95">
        <v>5</v>
      </c>
      <c r="H56" s="95">
        <v>6</v>
      </c>
      <c r="I56" s="95">
        <v>7</v>
      </c>
      <c r="J56" s="95">
        <v>8</v>
      </c>
      <c r="K56" s="95">
        <v>9</v>
      </c>
      <c r="L56" s="95">
        <v>10</v>
      </c>
      <c r="M56" s="95">
        <v>11</v>
      </c>
      <c r="N56" s="95">
        <v>12</v>
      </c>
      <c r="O56" s="95">
        <v>13</v>
      </c>
      <c r="P56" s="95">
        <v>14</v>
      </c>
      <c r="Q56" s="95">
        <v>15</v>
      </c>
      <c r="R56" s="95">
        <v>16</v>
      </c>
      <c r="S56" s="95">
        <v>17</v>
      </c>
      <c r="T56" s="95">
        <v>18</v>
      </c>
      <c r="U56" s="95">
        <v>19</v>
      </c>
      <c r="V56" s="95">
        <v>20</v>
      </c>
      <c r="W56" s="95">
        <v>21</v>
      </c>
      <c r="X56" s="95">
        <v>22</v>
      </c>
      <c r="Y56" s="95">
        <v>23</v>
      </c>
      <c r="Z56" s="95">
        <v>24</v>
      </c>
      <c r="AA56" s="95">
        <v>25</v>
      </c>
      <c r="AB56" s="95">
        <v>26</v>
      </c>
      <c r="AC56" s="95">
        <v>27</v>
      </c>
      <c r="AD56" s="95">
        <v>28</v>
      </c>
      <c r="AE56" s="95">
        <v>29</v>
      </c>
      <c r="AF56" s="95">
        <v>30</v>
      </c>
      <c r="AG56" s="95">
        <v>31</v>
      </c>
      <c r="AH56" s="95">
        <v>32</v>
      </c>
      <c r="AI56" s="95">
        <v>33</v>
      </c>
      <c r="AJ56" s="95">
        <v>34</v>
      </c>
      <c r="AK56" s="95">
        <v>35</v>
      </c>
      <c r="AL56" s="95">
        <v>36</v>
      </c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</row>
    <row r="57" spans="1:62">
      <c r="A57" s="92" t="s">
        <v>191</v>
      </c>
      <c r="B57" s="120"/>
      <c r="C57" s="100">
        <f t="shared" ref="C57:AH57" si="67">1/POWER(1+$B$30,C56)</f>
        <v>0.97791826775863444</v>
      </c>
      <c r="D57" s="100">
        <f t="shared" si="67"/>
        <v>0.95632413841604846</v>
      </c>
      <c r="E57" s="100">
        <f t="shared" si="67"/>
        <v>0.93520684485559058</v>
      </c>
      <c r="F57" s="100">
        <f t="shared" si="67"/>
        <v>0.91455585771719727</v>
      </c>
      <c r="G57" s="100">
        <f t="shared" si="67"/>
        <v>0.89436088014731374</v>
      </c>
      <c r="H57" s="100">
        <f t="shared" si="67"/>
        <v>0.87461184266474878</v>
      </c>
      <c r="I57" s="100">
        <f t="shared" si="67"/>
        <v>0.85529889813989846</v>
      </c>
      <c r="J57" s="100">
        <f t="shared" si="67"/>
        <v>0.83641241688483825</v>
      </c>
      <c r="K57" s="100">
        <f t="shared" si="67"/>
        <v>0.81794298185183389</v>
      </c>
      <c r="L57" s="100">
        <f t="shared" si="67"/>
        <v>0.79988138393787767</v>
      </c>
      <c r="M57" s="100">
        <f t="shared" si="67"/>
        <v>0.78221861739290854</v>
      </c>
      <c r="N57" s="100">
        <f t="shared" si="67"/>
        <v>0.76494587532942726</v>
      </c>
      <c r="O57" s="100">
        <f t="shared" si="67"/>
        <v>0.74805454533126581</v>
      </c>
      <c r="P57" s="100">
        <f t="shared" si="67"/>
        <v>0.73153620515932438</v>
      </c>
      <c r="Q57" s="100">
        <f t="shared" si="67"/>
        <v>0.71538261855213159</v>
      </c>
      <c r="R57" s="100">
        <f t="shared" si="67"/>
        <v>0.69958573111913647</v>
      </c>
      <c r="S57" s="100">
        <f t="shared" si="67"/>
        <v>0.68413766632468376</v>
      </c>
      <c r="T57" s="100">
        <f t="shared" si="67"/>
        <v>0.66903072156066956</v>
      </c>
      <c r="U57" s="100">
        <f t="shared" si="67"/>
        <v>0.65425736430591919</v>
      </c>
      <c r="V57" s="100">
        <f t="shared" si="67"/>
        <v>0.63981022837037449</v>
      </c>
      <c r="W57" s="100">
        <f t="shared" si="67"/>
        <v>0.62568211022221287</v>
      </c>
      <c r="X57" s="100">
        <f t="shared" si="67"/>
        <v>0.61186596539607341</v>
      </c>
      <c r="Y57" s="100">
        <f t="shared" si="67"/>
        <v>0.59835490498059274</v>
      </c>
      <c r="Z57" s="100">
        <f t="shared" si="67"/>
        <v>0.58514219218350361</v>
      </c>
      <c r="AA57" s="100">
        <f t="shared" si="67"/>
        <v>0.57222123897258181</v>
      </c>
      <c r="AB57" s="100">
        <f t="shared" si="67"/>
        <v>0.55958560279076686</v>
      </c>
      <c r="AC57" s="100">
        <f t="shared" si="67"/>
        <v>0.54722898334381798</v>
      </c>
      <c r="AD57" s="100">
        <f t="shared" si="67"/>
        <v>0.53514521945890514</v>
      </c>
      <c r="AE57" s="100">
        <f t="shared" si="67"/>
        <v>0.52332828601256687</v>
      </c>
      <c r="AF57" s="100">
        <f t="shared" si="67"/>
        <v>0.51177229092650456</v>
      </c>
      <c r="AG57" s="100">
        <f t="shared" si="67"/>
        <v>0.50047147222971533</v>
      </c>
      <c r="AH57" s="100">
        <f t="shared" si="67"/>
        <v>0.48942019518549673</v>
      </c>
      <c r="AI57" s="100">
        <f t="shared" ref="AI57:AL57" si="68">1/POWER(1+$B$30,AI56)</f>
        <v>0.47861294948189376</v>
      </c>
      <c r="AJ57" s="100">
        <f t="shared" si="68"/>
        <v>0.46804434648418441</v>
      </c>
      <c r="AK57" s="100">
        <f t="shared" si="68"/>
        <v>0.45770911654803564</v>
      </c>
      <c r="AL57" s="100">
        <f t="shared" si="68"/>
        <v>0.44760210639199011</v>
      </c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0"/>
      <c r="BJ57" s="100"/>
    </row>
    <row r="58" spans="1:62">
      <c r="A58" s="92" t="s">
        <v>247</v>
      </c>
      <c r="B58" s="120">
        <f>SUM(C58:BJ58)</f>
        <v>-161396.27236999013</v>
      </c>
      <c r="C58" s="100">
        <f t="shared" ref="C58:AH58" si="69">C57*C6</f>
        <v>-171691.34868101351</v>
      </c>
      <c r="D58" s="100">
        <f t="shared" si="69"/>
        <v>90364.751636930247</v>
      </c>
      <c r="E58" s="100">
        <f t="shared" si="69"/>
        <v>-22263.458414178993</v>
      </c>
      <c r="F58" s="100">
        <f t="shared" si="69"/>
        <v>-73025.480228144312</v>
      </c>
      <c r="G58" s="100">
        <f t="shared" si="69"/>
        <v>-19701.649772031164</v>
      </c>
      <c r="H58" s="100">
        <f t="shared" si="69"/>
        <v>-18487.14716896238</v>
      </c>
      <c r="I58" s="100">
        <f t="shared" si="69"/>
        <v>-17315.063666628434</v>
      </c>
      <c r="J58" s="100">
        <f t="shared" si="69"/>
        <v>-16184.31721148205</v>
      </c>
      <c r="K58" s="100">
        <f t="shared" si="69"/>
        <v>-62243.96037603185</v>
      </c>
      <c r="L58" s="100">
        <f t="shared" si="69"/>
        <v>-14041.642742082691</v>
      </c>
      <c r="M58" s="100">
        <f t="shared" si="69"/>
        <v>-13027.453528444361</v>
      </c>
      <c r="N58" s="100">
        <f t="shared" si="69"/>
        <v>-12049.749759497381</v>
      </c>
      <c r="O58" s="100">
        <f t="shared" si="69"/>
        <v>167419.8305266854</v>
      </c>
      <c r="P58" s="100">
        <f t="shared" si="69"/>
        <v>77169.359557903328</v>
      </c>
      <c r="Q58" s="100">
        <f t="shared" si="69"/>
        <v>-10501.69488171696</v>
      </c>
      <c r="R58" s="100">
        <f t="shared" si="69"/>
        <v>-50672.409189606398</v>
      </c>
      <c r="S58" s="100">
        <f t="shared" si="69"/>
        <v>-8797.615175649853</v>
      </c>
      <c r="T58" s="100">
        <f t="shared" si="69"/>
        <v>-7992.5897319367068</v>
      </c>
      <c r="U58" s="100">
        <f t="shared" si="69"/>
        <v>-7217.6248949325545</v>
      </c>
      <c r="V58" s="100">
        <f t="shared" si="69"/>
        <v>-6471.7452465481756</v>
      </c>
      <c r="W58" s="100">
        <f t="shared" si="69"/>
        <v>-42918.694702385081</v>
      </c>
      <c r="X58" s="100">
        <f t="shared" si="69"/>
        <v>-5064.0434652531776</v>
      </c>
      <c r="Y58" s="100">
        <f t="shared" si="69"/>
        <v>-4437.537114692127</v>
      </c>
      <c r="Z58" s="100">
        <f t="shared" si="69"/>
        <v>-3896.1996406056278</v>
      </c>
      <c r="AA58" s="100">
        <f t="shared" si="69"/>
        <v>133275.81746391862</v>
      </c>
      <c r="AB58" s="100">
        <f t="shared" si="69"/>
        <v>62107.78968589921</v>
      </c>
      <c r="AC58" s="100">
        <f t="shared" si="69"/>
        <v>-6779.8907593712875</v>
      </c>
      <c r="AD58" s="100">
        <f t="shared" si="69"/>
        <v>-38478.859147167474</v>
      </c>
      <c r="AE58" s="100">
        <f t="shared" si="69"/>
        <v>-5507.7880871623447</v>
      </c>
      <c r="AF58" s="100">
        <f t="shared" si="69"/>
        <v>-4907.4753210240442</v>
      </c>
      <c r="AG58" s="100">
        <f t="shared" si="69"/>
        <v>-4330.091162479097</v>
      </c>
      <c r="AH58" s="100">
        <f t="shared" si="69"/>
        <v>-3774.8842821492785</v>
      </c>
      <c r="AI58" s="100">
        <f t="shared" ref="AI58:AL58" si="70">AI57*AI6</f>
        <v>-32534.648921810309</v>
      </c>
      <c r="AJ58" s="100">
        <f t="shared" si="70"/>
        <v>-2885.7949800804272</v>
      </c>
      <c r="AK58" s="100">
        <f t="shared" si="70"/>
        <v>-2467.4770633384937</v>
      </c>
      <c r="AL58" s="100">
        <f t="shared" si="70"/>
        <v>-2065.4859249203987</v>
      </c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</row>
    <row r="59" spans="1:6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</row>
    <row r="60" spans="1:6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</row>
    <row r="61" spans="1:6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</row>
    <row r="62" spans="1:6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</row>
    <row r="63" spans="1:62">
      <c r="A63" s="15"/>
      <c r="B63" s="15"/>
      <c r="C63" s="59" t="s">
        <v>328</v>
      </c>
      <c r="D63" s="59" t="s">
        <v>329</v>
      </c>
      <c r="E63" s="59" t="s">
        <v>330</v>
      </c>
      <c r="F63" s="59" t="s">
        <v>331</v>
      </c>
      <c r="G63" s="59" t="s">
        <v>332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</row>
    <row r="64" spans="1:62">
      <c r="A64" s="15"/>
      <c r="B64" s="15"/>
      <c r="C64" s="145">
        <f>SUM(C6:N6)</f>
        <v>-393550.55512944947</v>
      </c>
      <c r="D64" s="145">
        <f>SUM(O6:Z6)</f>
        <v>105285.54093092436</v>
      </c>
      <c r="E64" s="145">
        <f>SUM(AA6:AL6)</f>
        <v>138978.6230419355</v>
      </c>
      <c r="F64" s="145">
        <f>SUM(AL6:AX6)</f>
        <v>171925.64809529646</v>
      </c>
      <c r="G64" s="145">
        <f>SUM(AY6:BJ6)</f>
        <v>212241.26343650662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</row>
    <row r="65" spans="1:6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</row>
    <row r="66" spans="1:62">
      <c r="A66" s="15"/>
      <c r="B66" s="408">
        <f>IRR(C64:G64)</f>
        <v>0.19109088534482455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</row>
    <row r="67" spans="1:6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</row>
    <row r="68" spans="1:6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</row>
    <row r="69" spans="1:6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</row>
    <row r="70" spans="1:6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</row>
    <row r="71" spans="1:6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</row>
    <row r="72" spans="1:6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</row>
    <row r="73" spans="1:6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</row>
    <row r="74" spans="1:6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</row>
    <row r="75" spans="1:6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</row>
  </sheetData>
  <mergeCells count="5">
    <mergeCell ref="C4:N4"/>
    <mergeCell ref="O4:Z4"/>
    <mergeCell ref="AA4:AL4"/>
    <mergeCell ref="AM4:AX4"/>
    <mergeCell ref="AY4:BJ4"/>
  </mergeCells>
  <phoneticPr fontId="4" type="noConversion"/>
  <conditionalFormatting sqref="C8:BJ8">
    <cfRule type="cellIs" dxfId="76" priority="10" stopIfTrue="1" operator="lessThan">
      <formula>0</formula>
    </cfRule>
    <cfRule type="cellIs" dxfId="75" priority="14" stopIfTrue="1" operator="lessThanOrEqual">
      <formula>0</formula>
    </cfRule>
  </conditionalFormatting>
  <conditionalFormatting sqref="C16:BJ16">
    <cfRule type="cellIs" dxfId="74" priority="6" stopIfTrue="1" operator="lessThan">
      <formula>0</formula>
    </cfRule>
    <cfRule type="cellIs" dxfId="73" priority="7" stopIfTrue="1" operator="lessThanOrEqual">
      <formula>0</formula>
    </cfRule>
  </conditionalFormatting>
  <conditionalFormatting sqref="C6:BJ7">
    <cfRule type="containsBlanks" dxfId="72" priority="5">
      <formula>LEN(TRIM(C6))=0</formula>
    </cfRule>
  </conditionalFormatting>
  <conditionalFormatting sqref="C13:BJ15">
    <cfRule type="containsBlanks" dxfId="71" priority="4">
      <formula>LEN(TRIM(C13))=0</formula>
    </cfRule>
  </conditionalFormatting>
  <conditionalFormatting sqref="C9:BJ9">
    <cfRule type="containsBlanks" dxfId="70" priority="3">
      <formula>LEN(TRIM(C9))=0</formula>
    </cfRule>
  </conditionalFormatting>
  <conditionalFormatting sqref="C17:BJ17">
    <cfRule type="containsBlanks" dxfId="69" priority="2">
      <formula>LEN(TRIM(C17))=0</formula>
    </cfRule>
  </conditionalFormatting>
  <conditionalFormatting sqref="C57:BJ58">
    <cfRule type="containsBlanks" dxfId="68" priority="1">
      <formula>LEN(TRIM(C57))=0</formula>
    </cfRule>
  </conditionalFormatting>
  <pageMargins left="0.7" right="0.7" top="0.75" bottom="0.75" header="0.3" footer="0.3"/>
  <pageSetup paperSize="9" orientation="portrait" verticalDpi="0" r:id="rId1"/>
  <cellWatches>
    <cellWatch r="B30"/>
  </cellWatche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8"/>
  <sheetViews>
    <sheetView workbookViewId="0"/>
  </sheetViews>
  <sheetFormatPr baseColWidth="10" defaultColWidth="8.6640625" defaultRowHeight="13"/>
  <cols>
    <col min="2" max="2" width="20.33203125" customWidth="1"/>
    <col min="3" max="3" width="18.6640625" customWidth="1"/>
  </cols>
  <sheetData>
    <row r="1" spans="1:13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2" spans="1:13" ht="42">
      <c r="A2" s="254"/>
      <c r="B2" s="258" t="s">
        <v>77</v>
      </c>
      <c r="C2" s="255" t="s">
        <v>78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1:13">
      <c r="A3" s="254"/>
      <c r="B3" s="256">
        <v>1043372145</v>
      </c>
      <c r="C3" s="257">
        <v>-0.2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</row>
    <row r="4" spans="1:13">
      <c r="A4" s="254"/>
      <c r="B4" s="256">
        <v>1192309779</v>
      </c>
      <c r="C4" s="257">
        <v>-0.1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</row>
    <row r="5" spans="1:13">
      <c r="A5" s="254"/>
      <c r="B5" s="256">
        <f>'Інвестиційний аналіз'!B34</f>
        <v>90122.708551577496</v>
      </c>
      <c r="C5" s="257">
        <v>0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</row>
    <row r="6" spans="1:13">
      <c r="A6" s="254"/>
      <c r="B6" s="256">
        <v>1982753956</v>
      </c>
      <c r="C6" s="257">
        <v>0.1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</row>
    <row r="7" spans="1:13">
      <c r="A7" s="254"/>
      <c r="B7" s="256">
        <v>2857134708</v>
      </c>
      <c r="C7" s="257">
        <v>0.2</v>
      </c>
      <c r="D7" s="254"/>
      <c r="E7" s="254"/>
      <c r="F7" s="254"/>
      <c r="G7" s="254"/>
      <c r="H7" s="254"/>
      <c r="I7" s="254"/>
      <c r="J7" s="254"/>
      <c r="K7" s="254"/>
      <c r="L7" s="254"/>
      <c r="M7" s="254"/>
    </row>
    <row r="8" spans="1:13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</row>
    <row r="9" spans="1:13">
      <c r="A9" s="254"/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</row>
    <row r="10" spans="1:13">
      <c r="A10" s="254"/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</row>
    <row r="11" spans="1:13">
      <c r="A11" s="254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13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</row>
    <row r="13" spans="1:13">
      <c r="A13" s="254"/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</row>
    <row r="14" spans="1:13">
      <c r="A14" s="254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</row>
    <row r="15" spans="1:13">
      <c r="A15" s="254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1:13">
      <c r="A16" s="254"/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</row>
    <row r="17" spans="1:13">
      <c r="A17" s="254"/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</row>
    <row r="18" spans="1:13">
      <c r="A18" s="254"/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2"/>
  <sheetViews>
    <sheetView topLeftCell="B1" workbookViewId="0">
      <selection activeCell="D4" sqref="D4"/>
    </sheetView>
  </sheetViews>
  <sheetFormatPr baseColWidth="10" defaultColWidth="93.33203125" defaultRowHeight="13"/>
  <cols>
    <col min="1" max="1" width="92.6640625" style="282" bestFit="1" customWidth="1"/>
    <col min="2" max="2" width="18.33203125" style="282" bestFit="1" customWidth="1"/>
    <col min="3" max="3" width="54.6640625" style="282" bestFit="1" customWidth="1"/>
    <col min="4" max="4" width="65.33203125" style="282" bestFit="1" customWidth="1"/>
    <col min="5" max="5" width="20.6640625" style="282" bestFit="1" customWidth="1"/>
    <col min="6" max="16384" width="93.33203125" style="282"/>
  </cols>
  <sheetData>
    <row r="1" spans="1:5" ht="17">
      <c r="A1" s="289" t="s">
        <v>82</v>
      </c>
      <c r="B1" s="289"/>
      <c r="C1" s="289"/>
    </row>
    <row r="2" spans="1:5" ht="14">
      <c r="A2" s="290" t="s">
        <v>26</v>
      </c>
      <c r="B2" s="290"/>
      <c r="C2" s="291"/>
      <c r="D2" s="292" t="s">
        <v>83</v>
      </c>
      <c r="E2" s="292" t="s">
        <v>84</v>
      </c>
    </row>
    <row r="3" spans="1:5" ht="26">
      <c r="A3" s="293" t="s">
        <v>85</v>
      </c>
      <c r="B3" s="294">
        <v>0.03</v>
      </c>
      <c r="C3" s="291" t="s">
        <v>86</v>
      </c>
      <c r="D3" s="295" t="s">
        <v>87</v>
      </c>
      <c r="E3" s="296">
        <v>0.01</v>
      </c>
    </row>
    <row r="4" spans="1:5" ht="14">
      <c r="A4" s="293" t="s">
        <v>88</v>
      </c>
      <c r="B4" s="294">
        <v>6.1100000000000002E-2</v>
      </c>
      <c r="C4" s="291" t="s">
        <v>89</v>
      </c>
      <c r="D4" s="295" t="s">
        <v>90</v>
      </c>
      <c r="E4" s="296">
        <v>2E-3</v>
      </c>
    </row>
    <row r="5" spans="1:5" ht="14">
      <c r="A5" s="293" t="s">
        <v>91</v>
      </c>
      <c r="B5" s="294">
        <v>0.83</v>
      </c>
      <c r="C5" s="297" t="s">
        <v>92</v>
      </c>
      <c r="D5" s="295" t="s">
        <v>93</v>
      </c>
      <c r="E5" s="296">
        <v>0.01</v>
      </c>
    </row>
    <row r="6" spans="1:5" ht="14">
      <c r="A6" s="294" t="s">
        <v>94</v>
      </c>
      <c r="B6" s="294">
        <f>B3+B4*B5</f>
        <v>8.0713000000000007E-2</v>
      </c>
      <c r="C6" s="291"/>
      <c r="D6" s="295" t="s">
        <v>95</v>
      </c>
      <c r="E6" s="296">
        <v>5.0000000000000001E-3</v>
      </c>
    </row>
    <row r="7" spans="1:5" ht="14">
      <c r="A7" s="293" t="s">
        <v>96</v>
      </c>
      <c r="B7" s="294">
        <v>0.04</v>
      </c>
      <c r="C7" s="291"/>
      <c r="D7" s="295" t="s">
        <v>97</v>
      </c>
      <c r="E7" s="296">
        <v>1E-3</v>
      </c>
    </row>
    <row r="8" spans="1:5" ht="14">
      <c r="A8" s="293" t="s">
        <v>98</v>
      </c>
      <c r="B8" s="294">
        <f>E9</f>
        <v>3.1E-2</v>
      </c>
      <c r="C8" s="291"/>
      <c r="D8" s="295" t="s">
        <v>99</v>
      </c>
      <c r="E8" s="296">
        <v>3.0000000000000001E-3</v>
      </c>
    </row>
    <row r="9" spans="1:5" ht="14">
      <c r="A9" s="298"/>
      <c r="B9" s="298"/>
      <c r="C9" s="291"/>
      <c r="D9" s="299" t="s">
        <v>100</v>
      </c>
      <c r="E9" s="300">
        <f>SUM(E3:E8)</f>
        <v>3.1E-2</v>
      </c>
    </row>
    <row r="10" spans="1:5" ht="15">
      <c r="A10" s="301" t="s">
        <v>57</v>
      </c>
      <c r="B10" s="302">
        <f>SUM(B6:B8)</f>
        <v>0.15171300000000001</v>
      </c>
      <c r="C10" s="303"/>
      <c r="D10" s="304"/>
      <c r="E10" s="305"/>
    </row>
    <row r="11" spans="1:5" ht="15">
      <c r="C11" s="303"/>
      <c r="D11" s="303"/>
      <c r="E11" s="305"/>
    </row>
    <row r="12" spans="1:5" ht="17">
      <c r="A12" s="289" t="s">
        <v>101</v>
      </c>
      <c r="B12" s="306"/>
      <c r="C12" s="303"/>
      <c r="D12" s="303"/>
      <c r="E12" s="307"/>
    </row>
    <row r="13" spans="1:5" ht="15">
      <c r="A13" s="303" t="s">
        <v>83</v>
      </c>
      <c r="B13" s="303" t="s">
        <v>84</v>
      </c>
      <c r="C13" s="303" t="s">
        <v>102</v>
      </c>
      <c r="D13" s="303"/>
      <c r="E13" s="308"/>
    </row>
    <row r="14" spans="1:5" ht="26">
      <c r="A14" s="303" t="s">
        <v>103</v>
      </c>
      <c r="B14" s="303"/>
      <c r="C14" s="303"/>
    </row>
    <row r="15" spans="1:5">
      <c r="A15" s="303" t="s">
        <v>104</v>
      </c>
      <c r="B15" s="303" t="s">
        <v>105</v>
      </c>
      <c r="C15" s="306">
        <v>0.03</v>
      </c>
    </row>
    <row r="16" spans="1:5">
      <c r="A16" s="303" t="s">
        <v>106</v>
      </c>
      <c r="B16" s="303"/>
      <c r="C16" s="306"/>
    </row>
    <row r="17" spans="1:3">
      <c r="A17" s="303" t="s">
        <v>107</v>
      </c>
      <c r="B17" s="303" t="s">
        <v>108</v>
      </c>
      <c r="C17" s="306">
        <v>0</v>
      </c>
    </row>
    <row r="18" spans="1:3">
      <c r="A18" s="303" t="s">
        <v>109</v>
      </c>
      <c r="B18" s="303" t="s">
        <v>110</v>
      </c>
      <c r="C18" s="306"/>
    </row>
    <row r="19" spans="1:3">
      <c r="A19" s="303" t="s">
        <v>111</v>
      </c>
      <c r="B19" s="303"/>
      <c r="C19" s="306"/>
    </row>
    <row r="20" spans="1:3">
      <c r="A20" s="303" t="s">
        <v>112</v>
      </c>
      <c r="B20" s="303">
        <v>0</v>
      </c>
      <c r="C20" s="306"/>
    </row>
    <row r="21" spans="1:3">
      <c r="A21" s="303" t="s">
        <v>113</v>
      </c>
      <c r="B21" s="303" t="s">
        <v>114</v>
      </c>
      <c r="C21" s="306">
        <v>0.03</v>
      </c>
    </row>
    <row r="22" spans="1:3">
      <c r="A22" s="303" t="s">
        <v>115</v>
      </c>
      <c r="B22" s="303"/>
      <c r="C22" s="306"/>
    </row>
    <row r="23" spans="1:3">
      <c r="A23" s="303" t="s">
        <v>116</v>
      </c>
      <c r="B23" s="303" t="s">
        <v>117</v>
      </c>
      <c r="C23" s="306">
        <v>0.01</v>
      </c>
    </row>
    <row r="24" spans="1:3">
      <c r="A24" s="303" t="s">
        <v>118</v>
      </c>
      <c r="B24" s="303" t="s">
        <v>119</v>
      </c>
      <c r="C24" s="306">
        <v>0.05</v>
      </c>
    </row>
    <row r="25" spans="1:3">
      <c r="A25" s="303" t="s">
        <v>120</v>
      </c>
      <c r="B25" s="303" t="s">
        <v>121</v>
      </c>
      <c r="C25" s="306">
        <v>0</v>
      </c>
    </row>
    <row r="26" spans="1:3" ht="26">
      <c r="A26" s="303" t="s">
        <v>122</v>
      </c>
      <c r="B26" s="303" t="s">
        <v>117</v>
      </c>
      <c r="C26" s="306">
        <v>0</v>
      </c>
    </row>
    <row r="27" spans="1:3" ht="26">
      <c r="A27" s="303" t="s">
        <v>123</v>
      </c>
      <c r="B27" s="303">
        <v>0</v>
      </c>
      <c r="C27" s="306">
        <v>0</v>
      </c>
    </row>
    <row r="28" spans="1:3">
      <c r="C28" s="309">
        <f>SUM(C14:C27)</f>
        <v>0.12</v>
      </c>
    </row>
    <row r="29" spans="1:3">
      <c r="A29" s="303" t="s">
        <v>85</v>
      </c>
      <c r="B29" s="306">
        <v>0.03</v>
      </c>
    </row>
    <row r="30" spans="1:3">
      <c r="A30" s="301" t="s">
        <v>57</v>
      </c>
      <c r="B30" s="310">
        <f>B29+C28</f>
        <v>0.15</v>
      </c>
    </row>
    <row r="32" spans="1:3">
      <c r="A32" s="301" t="s">
        <v>124</v>
      </c>
      <c r="B32" s="302">
        <f>(B30+B10)/2</f>
        <v>0.1508565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27"/>
  <sheetViews>
    <sheetView topLeftCell="C1" workbookViewId="0">
      <selection activeCell="D27" sqref="D27"/>
    </sheetView>
  </sheetViews>
  <sheetFormatPr baseColWidth="10" defaultColWidth="8.6640625" defaultRowHeight="13"/>
  <cols>
    <col min="1" max="1" width="6.5" customWidth="1"/>
    <col min="2" max="2" width="55.1640625" customWidth="1"/>
    <col min="3" max="3" width="17.6640625" customWidth="1"/>
    <col min="4" max="10" width="16.33203125" customWidth="1"/>
  </cols>
  <sheetData>
    <row r="1" spans="1:10" ht="23">
      <c r="A1" s="44" t="s">
        <v>49</v>
      </c>
      <c r="B1" s="44"/>
      <c r="C1" s="102" t="s">
        <v>143</v>
      </c>
    </row>
    <row r="4" spans="1:10" ht="16">
      <c r="B4" s="162" t="s">
        <v>50</v>
      </c>
    </row>
    <row r="7" spans="1:10">
      <c r="C7" s="445" t="str">
        <f>$B$108</f>
        <v>Коэффициент чувствительности по цене реализации</v>
      </c>
      <c r="D7" s="446"/>
      <c r="E7" s="446"/>
      <c r="F7" s="446"/>
      <c r="G7" s="446"/>
      <c r="H7" s="446"/>
      <c r="I7" s="446"/>
      <c r="J7" s="447"/>
    </row>
    <row r="8" spans="1:10" ht="14" thickBot="1">
      <c r="B8" s="163">
        <f>'Інвестиційний аналіз'!B34</f>
        <v>90122.708551577496</v>
      </c>
      <c r="C8" s="164">
        <v>0.8</v>
      </c>
      <c r="D8" s="164">
        <v>0.85</v>
      </c>
      <c r="E8" s="164">
        <v>0.9</v>
      </c>
      <c r="F8" s="164">
        <v>0.95</v>
      </c>
      <c r="G8" s="164">
        <v>1</v>
      </c>
      <c r="H8" s="164">
        <v>1.05</v>
      </c>
      <c r="I8" s="164">
        <v>1.1000000000000001</v>
      </c>
      <c r="J8" s="164">
        <v>1.1499999999999999</v>
      </c>
    </row>
    <row r="9" spans="1:10" ht="12.75" customHeight="1">
      <c r="A9" s="448" t="str">
        <f>B109</f>
        <v>Коэффициент чувствительности по объему реализации</v>
      </c>
      <c r="B9" s="164">
        <v>0.3</v>
      </c>
      <c r="C9" s="123">
        <f t="dataTable" ref="C9:J16" dt2D="1" dtr="0" r1="C108" r2="C109" ca="1"/>
        <v>-29067066.61306148</v>
      </c>
      <c r="D9" s="123">
        <v>-28485615.067282073</v>
      </c>
      <c r="E9" s="123">
        <v>-27904163.521502651</v>
      </c>
      <c r="F9" s="123">
        <v>-27322711.975723244</v>
      </c>
      <c r="G9" s="166">
        <v>-26741260.429943819</v>
      </c>
      <c r="H9" s="167">
        <v>-26159808.884164408</v>
      </c>
      <c r="I9" s="167">
        <v>-25578357.338384982</v>
      </c>
      <c r="J9" s="123">
        <v>-24996905.792605571</v>
      </c>
    </row>
    <row r="10" spans="1:10">
      <c r="A10" s="449"/>
      <c r="B10" s="164">
        <v>0.45</v>
      </c>
      <c r="C10" s="123">
        <v>-24415454.246826157</v>
      </c>
      <c r="D10" s="123">
        <v>-23543276.928157039</v>
      </c>
      <c r="E10" s="123">
        <v>-22671099.609487917</v>
      </c>
      <c r="F10" s="123">
        <v>-21798922.290818788</v>
      </c>
      <c r="G10" s="168">
        <v>-20926744.972149666</v>
      </c>
      <c r="H10" s="167">
        <v>-20054567.653480548</v>
      </c>
      <c r="I10" s="167">
        <v>-19182390.334811427</v>
      </c>
      <c r="J10" s="123">
        <v>-18310213.016142301</v>
      </c>
    </row>
    <row r="11" spans="1:10">
      <c r="A11" s="449"/>
      <c r="B11" s="164">
        <v>0.6</v>
      </c>
      <c r="C11" s="123">
        <v>-19763841.880590837</v>
      </c>
      <c r="D11" s="123">
        <v>-18600938.789032008</v>
      </c>
      <c r="E11" s="123">
        <v>-17438035.697473176</v>
      </c>
      <c r="F11" s="123">
        <v>-16275132.605914351</v>
      </c>
      <c r="G11" s="168">
        <v>-15112229.514355514</v>
      </c>
      <c r="H11" s="167">
        <v>-13949326.422796683</v>
      </c>
      <c r="I11" s="167">
        <v>-12786423.331237854</v>
      </c>
      <c r="J11" s="123">
        <v>-11623520.239679025</v>
      </c>
    </row>
    <row r="12" spans="1:10">
      <c r="A12" s="449"/>
      <c r="B12" s="164">
        <v>0.75</v>
      </c>
      <c r="C12" s="123">
        <v>-15112229.514355514</v>
      </c>
      <c r="D12" s="123">
        <v>-13658600.649906982</v>
      </c>
      <c r="E12" s="123">
        <v>-12204971.785458438</v>
      </c>
      <c r="F12" s="123">
        <v>-10751342.921009902</v>
      </c>
      <c r="G12" s="168">
        <v>-9297714.056561362</v>
      </c>
      <c r="H12" s="167">
        <v>-7844085.1921128249</v>
      </c>
      <c r="I12" s="167">
        <v>-6395193.1602780018</v>
      </c>
      <c r="J12" s="123">
        <v>-4983322.8459058823</v>
      </c>
    </row>
    <row r="13" spans="1:10" ht="14" thickBot="1">
      <c r="A13" s="449"/>
      <c r="B13" s="164">
        <v>0.9</v>
      </c>
      <c r="C13" s="169">
        <v>-10460617.148120195</v>
      </c>
      <c r="D13" s="169">
        <v>-8716262.5107819512</v>
      </c>
      <c r="E13" s="169">
        <v>-6971907.8734437041</v>
      </c>
      <c r="F13" s="169">
        <v>-5265696.9087803075</v>
      </c>
      <c r="G13" s="170">
        <v>-3584561.3538725837</v>
      </c>
      <c r="H13" s="171">
        <v>-1927557.3604301407</v>
      </c>
      <c r="I13" s="171">
        <v>-270606.65232982946</v>
      </c>
      <c r="J13" s="169">
        <v>1252945.02630616</v>
      </c>
    </row>
    <row r="14" spans="1:10" ht="14" thickBot="1">
      <c r="A14" s="450"/>
      <c r="B14" s="172">
        <v>1</v>
      </c>
      <c r="C14" s="173">
        <v>-7359542.2372966465</v>
      </c>
      <c r="D14" s="173">
        <v>-5453946.2840299215</v>
      </c>
      <c r="E14" s="173">
        <v>-3584561.3538725837</v>
      </c>
      <c r="F14" s="173">
        <v>-1743445.8056032027</v>
      </c>
      <c r="G14" s="174">
        <v>90122.708551577496</v>
      </c>
      <c r="H14" s="173">
        <v>1742445.5193913702</v>
      </c>
      <c r="I14" s="173">
        <v>3369134.8262387104</v>
      </c>
      <c r="J14" s="175">
        <v>4961174.9796825051</v>
      </c>
    </row>
    <row r="15" spans="1:10">
      <c r="A15" s="449"/>
      <c r="B15" s="176">
        <v>1.1000000000000001</v>
      </c>
      <c r="C15" s="177">
        <v>-4324713.6530441167</v>
      </c>
      <c r="D15" s="177">
        <v>-2295780.4700840139</v>
      </c>
      <c r="E15" s="177">
        <v>-270606.65232982906</v>
      </c>
      <c r="F15" s="177">
        <v>1579278.688362974</v>
      </c>
      <c r="G15" s="178">
        <v>3369134.8262387104</v>
      </c>
      <c r="H15" s="179">
        <v>5120105.0688622193</v>
      </c>
      <c r="I15" s="179">
        <v>6868336.0498390011</v>
      </c>
      <c r="J15" s="177">
        <v>8616567.030815769</v>
      </c>
    </row>
    <row r="16" spans="1:10" ht="14" thickBot="1">
      <c r="A16" s="451"/>
      <c r="B16" s="164">
        <v>1.2</v>
      </c>
      <c r="C16" s="123">
        <v>-1375222.6959493256</v>
      </c>
      <c r="D16" s="123">
        <v>763336.03300775355</v>
      </c>
      <c r="E16" s="123">
        <v>2721446.5055617811</v>
      </c>
      <c r="F16" s="123">
        <v>4643314.8013230953</v>
      </c>
      <c r="G16" s="180">
        <v>6550475.8714795765</v>
      </c>
      <c r="H16" s="167">
        <v>8457636.9416360557</v>
      </c>
      <c r="I16" s="167">
        <v>10364798.011792542</v>
      </c>
      <c r="J16" s="123">
        <v>12271959.081949018</v>
      </c>
    </row>
    <row r="19" spans="1:10">
      <c r="B19" s="181"/>
    </row>
    <row r="20" spans="1:10">
      <c r="B20" s="181"/>
    </row>
    <row r="21" spans="1:10" ht="16">
      <c r="B21" s="162" t="s">
        <v>51</v>
      </c>
    </row>
    <row r="24" spans="1:10" ht="13.25" customHeight="1">
      <c r="C24" s="445" t="str">
        <f>C7</f>
        <v>Коэффициент чувствительности по цене реализации</v>
      </c>
      <c r="D24" s="446"/>
      <c r="E24" s="446"/>
      <c r="F24" s="446"/>
      <c r="G24" s="446"/>
      <c r="H24" s="446"/>
      <c r="I24" s="446"/>
      <c r="J24" s="447"/>
    </row>
    <row r="25" spans="1:10" ht="14" thickBot="1">
      <c r="B25" s="182">
        <f>'Інвестиційний аналіз'!B31</f>
        <v>0.30728203426071898</v>
      </c>
      <c r="C25" s="164">
        <v>0.8</v>
      </c>
      <c r="D25" s="164">
        <v>0.85</v>
      </c>
      <c r="E25" s="164">
        <v>0.9</v>
      </c>
      <c r="F25" s="164">
        <v>0.95</v>
      </c>
      <c r="G25" s="164">
        <v>1</v>
      </c>
      <c r="H25" s="165">
        <v>1.05</v>
      </c>
      <c r="I25" s="164">
        <v>1.1000000000000001</v>
      </c>
      <c r="J25" s="164">
        <v>1.1499999999999999</v>
      </c>
    </row>
    <row r="26" spans="1:10" ht="12.75" customHeight="1">
      <c r="A26" s="448" t="str">
        <f>A9</f>
        <v>Коэффициент чувствительности по объему реализации</v>
      </c>
      <c r="B26" s="164">
        <v>0.3</v>
      </c>
      <c r="C26" s="183" t="e">
        <f t="dataTable" ref="C26:J33" dt2D="1" dtr="0" r1="C108" r2="C109" ca="1"/>
        <v>#NUM!</v>
      </c>
      <c r="D26" s="183" t="e">
        <v>#NUM!</v>
      </c>
      <c r="E26" s="183" t="e">
        <v>#NUM!</v>
      </c>
      <c r="F26" s="184" t="e">
        <v>#NUM!</v>
      </c>
      <c r="G26" s="185" t="e">
        <v>#NUM!</v>
      </c>
      <c r="H26" s="186" t="e">
        <v>#NUM!</v>
      </c>
      <c r="I26" s="186" t="e">
        <v>#NUM!</v>
      </c>
      <c r="J26" s="183" t="e">
        <v>#NUM!</v>
      </c>
    </row>
    <row r="27" spans="1:10">
      <c r="A27" s="449"/>
      <c r="B27" s="164">
        <v>0.45</v>
      </c>
      <c r="C27" s="183" t="e">
        <v>#NUM!</v>
      </c>
      <c r="D27" s="183" t="e">
        <v>#NUM!</v>
      </c>
      <c r="E27" s="183" t="e">
        <v>#NUM!</v>
      </c>
      <c r="F27" s="184" t="e">
        <v>#NUM!</v>
      </c>
      <c r="G27" s="187" t="e">
        <v>#NUM!</v>
      </c>
      <c r="H27" s="186" t="e">
        <v>#NUM!</v>
      </c>
      <c r="I27" s="186" t="e">
        <v>#NUM!</v>
      </c>
      <c r="J27" s="183" t="e">
        <v>#NUM!</v>
      </c>
    </row>
    <row r="28" spans="1:10">
      <c r="A28" s="449"/>
      <c r="B28" s="164">
        <v>0.6</v>
      </c>
      <c r="C28" s="183" t="e">
        <v>#NUM!</v>
      </c>
      <c r="D28" s="183" t="e">
        <v>#NUM!</v>
      </c>
      <c r="E28" s="183" t="e">
        <v>#NUM!</v>
      </c>
      <c r="F28" s="184" t="e">
        <v>#NUM!</v>
      </c>
      <c r="G28" s="187" t="e">
        <v>#NUM!</v>
      </c>
      <c r="H28" s="186" t="e">
        <v>#NUM!</v>
      </c>
      <c r="I28" s="186" t="e">
        <v>#NUM!</v>
      </c>
      <c r="J28" s="183" t="e">
        <v>#NUM!</v>
      </c>
    </row>
    <row r="29" spans="1:10">
      <c r="A29" s="449"/>
      <c r="B29" s="164">
        <v>0.75</v>
      </c>
      <c r="C29" s="183" t="e">
        <v>#NUM!</v>
      </c>
      <c r="D29" s="183" t="e">
        <v>#NUM!</v>
      </c>
      <c r="E29" s="183" t="e">
        <v>#NUM!</v>
      </c>
      <c r="F29" s="184" t="e">
        <v>#NUM!</v>
      </c>
      <c r="G29" s="187" t="e">
        <v>#NUM!</v>
      </c>
      <c r="H29" s="186" t="e">
        <v>#NUM!</v>
      </c>
      <c r="I29" s="186" t="e">
        <v>#NUM!</v>
      </c>
      <c r="J29" s="183" t="e">
        <v>#NUM!</v>
      </c>
    </row>
    <row r="30" spans="1:10" ht="14" thickBot="1">
      <c r="A30" s="449"/>
      <c r="B30" s="165">
        <v>0.9</v>
      </c>
      <c r="C30" s="188" t="e">
        <v>#NUM!</v>
      </c>
      <c r="D30" s="188" t="e">
        <v>#NUM!</v>
      </c>
      <c r="E30" s="188" t="e">
        <v>#NUM!</v>
      </c>
      <c r="F30" s="189" t="e">
        <v>#NUM!</v>
      </c>
      <c r="G30" s="190" t="e">
        <v>#NUM!</v>
      </c>
      <c r="H30" s="191" t="e">
        <v>#NUM!</v>
      </c>
      <c r="I30" s="191" t="e">
        <v>#NUM!</v>
      </c>
      <c r="J30" s="188">
        <v>6.2888815029698399</v>
      </c>
    </row>
    <row r="31" spans="1:10" ht="14" thickBot="1">
      <c r="A31" s="450"/>
      <c r="B31" s="192">
        <v>1</v>
      </c>
      <c r="C31" s="193" t="e">
        <v>#NUM!</v>
      </c>
      <c r="D31" s="193" t="e">
        <v>#NUM!</v>
      </c>
      <c r="E31" s="193" t="e">
        <v>#NUM!</v>
      </c>
      <c r="F31" s="194" t="e">
        <v>#NUM!</v>
      </c>
      <c r="G31" s="195">
        <v>0.30728203426071898</v>
      </c>
      <c r="H31" s="196">
        <v>35.646237947511651</v>
      </c>
      <c r="I31" s="196">
        <v>19876005.425446615</v>
      </c>
      <c r="J31" s="197" t="e">
        <v>#NUM!</v>
      </c>
    </row>
    <row r="32" spans="1:10">
      <c r="A32" s="449"/>
      <c r="B32" s="176">
        <v>1.1000000000000001</v>
      </c>
      <c r="C32" s="198" t="e">
        <v>#NUM!</v>
      </c>
      <c r="D32" s="198" t="e">
        <v>#NUM!</v>
      </c>
      <c r="E32" s="198" t="e">
        <v>#NUM!</v>
      </c>
      <c r="F32" s="199">
        <v>17.548532266492366</v>
      </c>
      <c r="G32" s="200">
        <v>19876005.42544679</v>
      </c>
      <c r="H32" s="201" t="e">
        <v>#NUM!</v>
      </c>
      <c r="I32" s="201" t="e">
        <v>#NUM!</v>
      </c>
      <c r="J32" s="198" t="e">
        <v>#NUM!</v>
      </c>
    </row>
    <row r="33" spans="1:10" ht="14" thickBot="1">
      <c r="A33" s="451"/>
      <c r="B33" s="164">
        <v>1.2</v>
      </c>
      <c r="C33" s="183" t="e">
        <v>#NUM!</v>
      </c>
      <c r="D33" s="183">
        <v>2.0757231514642704</v>
      </c>
      <c r="E33" s="183">
        <v>43218.678512658778</v>
      </c>
      <c r="F33" s="184" t="e">
        <v>#NUM!</v>
      </c>
      <c r="G33" s="202" t="e">
        <v>#NUM!</v>
      </c>
      <c r="H33" s="186" t="e">
        <v>#NUM!</v>
      </c>
      <c r="I33" s="186" t="e">
        <v>#NUM!</v>
      </c>
      <c r="J33" s="183" t="e">
        <v>#NUM!</v>
      </c>
    </row>
    <row r="38" spans="1:10" ht="16">
      <c r="B38" s="162" t="s">
        <v>52</v>
      </c>
    </row>
    <row r="41" spans="1:10">
      <c r="C41" s="445" t="str">
        <f>C24</f>
        <v>Коэффициент чувствительности по цене реализации</v>
      </c>
      <c r="D41" s="446"/>
      <c r="E41" s="446"/>
      <c r="F41" s="446"/>
      <c r="G41" s="446"/>
      <c r="H41" s="446"/>
      <c r="I41" s="446"/>
      <c r="J41" s="447"/>
    </row>
    <row r="42" spans="1:10" ht="14" thickBot="1">
      <c r="B42" s="163">
        <f>'Финансовий аналіз'!B18</f>
        <v>39648.455287846504</v>
      </c>
      <c r="C42" s="164">
        <v>0.8</v>
      </c>
      <c r="D42" s="164">
        <v>0.85</v>
      </c>
      <c r="E42" s="164">
        <v>0.9</v>
      </c>
      <c r="F42" s="164">
        <v>0.95</v>
      </c>
      <c r="G42" s="164">
        <v>1</v>
      </c>
      <c r="H42" s="164">
        <v>1.05</v>
      </c>
      <c r="I42" s="164">
        <v>1.1000000000000001</v>
      </c>
      <c r="J42" s="164">
        <v>1.1499999999999999</v>
      </c>
    </row>
    <row r="43" spans="1:10" ht="12.75" customHeight="1">
      <c r="A43" s="448" t="str">
        <f>A26</f>
        <v>Коэффициент чувствительности по объему реализации</v>
      </c>
      <c r="B43" s="164">
        <v>0.3</v>
      </c>
      <c r="C43" s="123">
        <f t="dataTable" ref="C43:J50" dt2D="1" dtr="0" r1="C108" r2="C109" ca="1"/>
        <v>-647906.67654024321</v>
      </c>
      <c r="D43" s="123">
        <v>-634336.50946468906</v>
      </c>
      <c r="E43" s="123">
        <v>-620766.34238913457</v>
      </c>
      <c r="F43" s="123">
        <v>-607196.1753135802</v>
      </c>
      <c r="G43" s="166">
        <v>-593626.00823802606</v>
      </c>
      <c r="H43" s="123">
        <v>-580055.8411624711</v>
      </c>
      <c r="I43" s="123">
        <v>-566485.67408691696</v>
      </c>
      <c r="J43" s="123">
        <v>-552915.5070113627</v>
      </c>
    </row>
    <row r="44" spans="1:10">
      <c r="A44" s="449"/>
      <c r="B44" s="164">
        <v>0.45</v>
      </c>
      <c r="C44" s="123">
        <v>-539345.33993580821</v>
      </c>
      <c r="D44" s="123">
        <v>-518990.08932247659</v>
      </c>
      <c r="E44" s="123">
        <v>-498634.83870914509</v>
      </c>
      <c r="F44" s="123">
        <v>-478279.58809581317</v>
      </c>
      <c r="G44" s="168">
        <v>-457924.33748248185</v>
      </c>
      <c r="H44" s="123">
        <v>-437569.08686915005</v>
      </c>
      <c r="I44" s="123">
        <v>-417213.83625581849</v>
      </c>
      <c r="J44" s="123">
        <v>-396858.58564248687</v>
      </c>
    </row>
    <row r="45" spans="1:10">
      <c r="A45" s="449"/>
      <c r="B45" s="164">
        <v>0.6</v>
      </c>
      <c r="C45" s="123">
        <v>-430784.00333137286</v>
      </c>
      <c r="D45" s="123">
        <v>-403643.66918026406</v>
      </c>
      <c r="E45" s="123">
        <v>-376503.33502915525</v>
      </c>
      <c r="F45" s="123">
        <v>-349363.0008780465</v>
      </c>
      <c r="G45" s="168">
        <v>-322222.66672693763</v>
      </c>
      <c r="H45" s="123">
        <v>-295082.33257582894</v>
      </c>
      <c r="I45" s="123">
        <v>-267941.99842471996</v>
      </c>
      <c r="J45" s="123">
        <v>-240801.6642736113</v>
      </c>
    </row>
    <row r="46" spans="1:10">
      <c r="A46" s="449"/>
      <c r="B46" s="164">
        <v>0.75</v>
      </c>
      <c r="C46" s="123">
        <v>-322222.66672693763</v>
      </c>
      <c r="D46" s="123">
        <v>-288297.24903805158</v>
      </c>
      <c r="E46" s="123">
        <v>-254371.83134916564</v>
      </c>
      <c r="F46" s="123">
        <v>-220446.41366027959</v>
      </c>
      <c r="G46" s="168">
        <v>-186520.99597139366</v>
      </c>
      <c r="H46" s="123">
        <v>-152595.57828250757</v>
      </c>
      <c r="I46" s="123">
        <v>-118670.16059362152</v>
      </c>
      <c r="J46" s="123">
        <v>-84744.742904735656</v>
      </c>
    </row>
    <row r="47" spans="1:10" ht="14" thickBot="1">
      <c r="A47" s="449"/>
      <c r="B47" s="164">
        <v>0.9</v>
      </c>
      <c r="C47" s="123">
        <v>-213661.33012250232</v>
      </c>
      <c r="D47" s="123">
        <v>-172950.82889583925</v>
      </c>
      <c r="E47" s="123">
        <v>-132240.32766917601</v>
      </c>
      <c r="F47" s="123">
        <v>-91529.826442512858</v>
      </c>
      <c r="G47" s="170">
        <v>-50819.325215849538</v>
      </c>
      <c r="H47" s="123">
        <v>-10108.823989186323</v>
      </c>
      <c r="I47" s="123">
        <v>30601.677237476975</v>
      </c>
      <c r="J47" s="123">
        <v>71312.178464139972</v>
      </c>
    </row>
    <row r="48" spans="1:10" ht="14" thickBot="1">
      <c r="A48" s="450"/>
      <c r="B48" s="172">
        <v>1</v>
      </c>
      <c r="C48" s="173">
        <v>-141287.10571954559</v>
      </c>
      <c r="D48" s="173">
        <v>-96053.215467697548</v>
      </c>
      <c r="E48" s="173">
        <v>-50819.325215849538</v>
      </c>
      <c r="F48" s="173">
        <v>-5585.4349640015198</v>
      </c>
      <c r="G48" s="174">
        <v>39648.455287846504</v>
      </c>
      <c r="H48" s="173">
        <v>84882.345539694492</v>
      </c>
      <c r="I48" s="173">
        <v>130116.2357915426</v>
      </c>
      <c r="J48" s="175">
        <v>175350.12604339048</v>
      </c>
    </row>
    <row r="49" spans="1:10">
      <c r="A49" s="449"/>
      <c r="B49" s="164">
        <v>1.1000000000000001</v>
      </c>
      <c r="C49" s="123">
        <v>-68912.881316588653</v>
      </c>
      <c r="D49" s="123">
        <v>-19155.602039555841</v>
      </c>
      <c r="E49" s="123">
        <v>30601.67723747699</v>
      </c>
      <c r="F49" s="123">
        <v>80358.95651450986</v>
      </c>
      <c r="G49" s="178">
        <v>130116.23579154264</v>
      </c>
      <c r="H49" s="123">
        <v>179873.51506857548</v>
      </c>
      <c r="I49" s="123">
        <v>229630.79434560839</v>
      </c>
      <c r="J49" s="123">
        <v>279388.0736226411</v>
      </c>
    </row>
    <row r="50" spans="1:10" ht="14" thickBot="1">
      <c r="A50" s="451"/>
      <c r="B50" s="164">
        <v>1.2</v>
      </c>
      <c r="C50" s="123">
        <v>3461.3430863681115</v>
      </c>
      <c r="D50" s="123">
        <v>57742.011388585735</v>
      </c>
      <c r="E50" s="123">
        <v>112022.67969080336</v>
      </c>
      <c r="F50" s="123">
        <v>166303.34799302096</v>
      </c>
      <c r="G50" s="180">
        <v>220584.01629523851</v>
      </c>
      <c r="H50" s="123">
        <v>274864.68459745613</v>
      </c>
      <c r="I50" s="123">
        <v>329145.35289967374</v>
      </c>
      <c r="J50" s="123">
        <v>383426.02120189124</v>
      </c>
    </row>
    <row r="55" spans="1:10" ht="16">
      <c r="B55" s="162" t="s">
        <v>14</v>
      </c>
    </row>
    <row r="58" spans="1:10">
      <c r="C58" s="445" t="str">
        <f>C41</f>
        <v>Коэффициент чувствительности по цене реализации</v>
      </c>
      <c r="D58" s="446"/>
      <c r="E58" s="446"/>
      <c r="F58" s="446"/>
      <c r="G58" s="446"/>
      <c r="H58" s="446"/>
      <c r="I58" s="446"/>
      <c r="J58" s="447"/>
    </row>
    <row r="59" spans="1:10" ht="14" thickBot="1">
      <c r="B59" s="163">
        <f>'Финансовий аналіз'!B19</f>
        <v>18212.865528449431</v>
      </c>
      <c r="C59" s="164">
        <v>0.8</v>
      </c>
      <c r="D59" s="164">
        <v>0.85</v>
      </c>
      <c r="E59" s="164">
        <v>0.9</v>
      </c>
      <c r="F59" s="164">
        <v>0.95</v>
      </c>
      <c r="G59" s="164">
        <v>1</v>
      </c>
      <c r="H59" s="164">
        <v>1.05</v>
      </c>
      <c r="I59" s="164">
        <v>1.1000000000000001</v>
      </c>
      <c r="J59" s="164">
        <v>1.1499999999999999</v>
      </c>
    </row>
    <row r="60" spans="1:10" ht="12.75" customHeight="1">
      <c r="A60" s="448" t="str">
        <f>A43</f>
        <v>Коэффициент чувствительности по объему реализации</v>
      </c>
      <c r="B60" s="164">
        <v>0.3</v>
      </c>
      <c r="C60" s="123">
        <f t="dataTable" ref="C60:J67" dt2D="1" dtr="0" r1="C108" r2="C109"/>
        <v>-662548.07820690982</v>
      </c>
      <c r="D60" s="123">
        <v>-648977.91113135591</v>
      </c>
      <c r="E60" s="123">
        <v>-635407.74405580119</v>
      </c>
      <c r="F60" s="123">
        <v>-621837.57698024693</v>
      </c>
      <c r="G60" s="166">
        <v>-608267.40990469244</v>
      </c>
      <c r="H60" s="123">
        <v>-594697.24282913795</v>
      </c>
      <c r="I60" s="123">
        <v>-581127.07575358346</v>
      </c>
      <c r="J60" s="123">
        <v>-567556.90867802908</v>
      </c>
    </row>
    <row r="61" spans="1:10">
      <c r="A61" s="449"/>
      <c r="B61" s="164">
        <v>0.45</v>
      </c>
      <c r="C61" s="123">
        <v>-553986.74160247471</v>
      </c>
      <c r="D61" s="123">
        <v>-533631.49098914326</v>
      </c>
      <c r="E61" s="123">
        <v>-513276.24037581176</v>
      </c>
      <c r="F61" s="123">
        <v>-492920.98976247996</v>
      </c>
      <c r="G61" s="168">
        <v>-472565.73914914823</v>
      </c>
      <c r="H61" s="123">
        <v>-452210.48853581672</v>
      </c>
      <c r="I61" s="123">
        <v>-431855.2379224851</v>
      </c>
      <c r="J61" s="123">
        <v>-411499.9873091536</v>
      </c>
    </row>
    <row r="62" spans="1:10">
      <c r="A62" s="449"/>
      <c r="B62" s="164">
        <v>0.6</v>
      </c>
      <c r="C62" s="123">
        <v>-445425.40499803924</v>
      </c>
      <c r="D62" s="123">
        <v>-418285.0708469309</v>
      </c>
      <c r="E62" s="123">
        <v>-391144.73669582204</v>
      </c>
      <c r="F62" s="123">
        <v>-364004.40254471317</v>
      </c>
      <c r="G62" s="168">
        <v>-336864.06839360431</v>
      </c>
      <c r="H62" s="123">
        <v>-309723.73424249544</v>
      </c>
      <c r="I62" s="123">
        <v>-282583.40009138669</v>
      </c>
      <c r="J62" s="123">
        <v>-255443.06594027794</v>
      </c>
    </row>
    <row r="63" spans="1:10">
      <c r="A63" s="449"/>
      <c r="B63" s="164">
        <v>0.75</v>
      </c>
      <c r="C63" s="123">
        <v>-336864.06839360431</v>
      </c>
      <c r="D63" s="123">
        <v>-302938.65070471825</v>
      </c>
      <c r="E63" s="123">
        <v>-269013.23301583232</v>
      </c>
      <c r="F63" s="123">
        <v>-235087.81532694623</v>
      </c>
      <c r="G63" s="168">
        <v>-201162.39763806024</v>
      </c>
      <c r="H63" s="123">
        <v>-167236.97994917425</v>
      </c>
      <c r="I63" s="123">
        <v>-133426.05148884348</v>
      </c>
      <c r="J63" s="123">
        <v>-100421.54044700411</v>
      </c>
    </row>
    <row r="64" spans="1:10" ht="14" thickBot="1">
      <c r="A64" s="449"/>
      <c r="B64" s="164">
        <v>0.9</v>
      </c>
      <c r="C64" s="123">
        <v>-228302.73178916896</v>
      </c>
      <c r="D64" s="123">
        <v>-187592.23056250587</v>
      </c>
      <c r="E64" s="123">
        <v>-146881.72933584268</v>
      </c>
      <c r="F64" s="123">
        <v>-107022.44265537197</v>
      </c>
      <c r="G64" s="170">
        <v>-67726.783473626972</v>
      </c>
      <c r="H64" s="123">
        <v>-28952.258245717268</v>
      </c>
      <c r="I64" s="123">
        <v>9820.4807179276522</v>
      </c>
      <c r="J64" s="123">
        <v>45264.435944563469</v>
      </c>
    </row>
    <row r="65" spans="1:10" ht="14" thickBot="1">
      <c r="A65" s="450"/>
      <c r="B65" s="172">
        <v>1</v>
      </c>
      <c r="C65" s="173">
        <v>-155928.50738621221</v>
      </c>
      <c r="D65" s="173">
        <v>-111423.04412761718</v>
      </c>
      <c r="E65" s="173">
        <v>-67726.783473626972</v>
      </c>
      <c r="F65" s="173">
        <v>-24643.977664838418</v>
      </c>
      <c r="G65" s="174">
        <v>18212.865528449431</v>
      </c>
      <c r="H65" s="173">
        <v>56690.743742559011</v>
      </c>
      <c r="I65" s="173">
        <v>94640.296280020993</v>
      </c>
      <c r="J65" s="175">
        <v>131781.15398891349</v>
      </c>
    </row>
    <row r="66" spans="1:10">
      <c r="A66" s="449"/>
      <c r="B66" s="164">
        <v>1.1000000000000001</v>
      </c>
      <c r="C66" s="123">
        <v>-85027.300962242196</v>
      </c>
      <c r="D66" s="123">
        <v>-37568.819407474904</v>
      </c>
      <c r="E66" s="123">
        <v>9820.4807179276631</v>
      </c>
      <c r="F66" s="123">
        <v>52881.974476560674</v>
      </c>
      <c r="G66" s="178">
        <v>94640.296280021008</v>
      </c>
      <c r="H66" s="123">
        <v>135490.33298956521</v>
      </c>
      <c r="I66" s="123">
        <v>176291.30199673219</v>
      </c>
      <c r="J66" s="123">
        <v>217092.27100389911</v>
      </c>
    </row>
    <row r="67" spans="1:10" ht="14" thickBot="1">
      <c r="A67" s="451"/>
      <c r="B67" s="164">
        <v>1.2</v>
      </c>
      <c r="C67" s="123">
        <v>-16027.416503080667</v>
      </c>
      <c r="D67" s="123">
        <v>33836.255508700277</v>
      </c>
      <c r="E67" s="123">
        <v>79543.359338549941</v>
      </c>
      <c r="F67" s="123">
        <v>124362.79598761057</v>
      </c>
      <c r="G67" s="180">
        <v>168872.94399542906</v>
      </c>
      <c r="H67" s="123">
        <v>213383.09200324738</v>
      </c>
      <c r="I67" s="123">
        <v>257893.24001106602</v>
      </c>
      <c r="J67" s="123">
        <v>302403.38801888417</v>
      </c>
    </row>
    <row r="72" spans="1:10" ht="16">
      <c r="B72" s="162" t="s">
        <v>53</v>
      </c>
    </row>
    <row r="75" spans="1:10">
      <c r="C75" s="445" t="str">
        <f>C58</f>
        <v>Коэффициент чувствительности по цене реализации</v>
      </c>
      <c r="D75" s="446"/>
      <c r="E75" s="446"/>
      <c r="F75" s="446"/>
      <c r="G75" s="446"/>
      <c r="H75" s="446"/>
      <c r="I75" s="446"/>
      <c r="J75" s="447"/>
    </row>
    <row r="76" spans="1:10" ht="14" thickBot="1">
      <c r="B76" s="203">
        <f>'Інвестиційний аналіз'!B25</f>
        <v>2.8333333333333335</v>
      </c>
      <c r="C76" s="164">
        <v>0.8</v>
      </c>
      <c r="D76" s="164">
        <v>0.85</v>
      </c>
      <c r="E76" s="164">
        <v>0.9</v>
      </c>
      <c r="F76" s="164">
        <v>0.95</v>
      </c>
      <c r="G76" s="164">
        <v>1</v>
      </c>
      <c r="H76" s="164">
        <v>1.05</v>
      </c>
      <c r="I76" s="164">
        <v>1.1000000000000001</v>
      </c>
      <c r="J76" s="164">
        <v>1.1499999999999999</v>
      </c>
    </row>
    <row r="77" spans="1:10" ht="12.75" customHeight="1">
      <c r="A77" s="448" t="str">
        <f>A60</f>
        <v>Коэффициент чувствительности по объему реализации</v>
      </c>
      <c r="B77" s="164">
        <v>0.3</v>
      </c>
      <c r="C77" s="124">
        <f t="dataTable" ref="C77:J84" dt2D="1" dtr="0" r1="C108" r2="C109" ca="1"/>
        <v>5</v>
      </c>
      <c r="D77" s="124">
        <v>5</v>
      </c>
      <c r="E77" s="124">
        <v>5</v>
      </c>
      <c r="F77" s="124">
        <v>5</v>
      </c>
      <c r="G77" s="204">
        <v>5</v>
      </c>
      <c r="H77" s="124">
        <v>5</v>
      </c>
      <c r="I77" s="124">
        <v>5</v>
      </c>
      <c r="J77" s="124">
        <v>5</v>
      </c>
    </row>
    <row r="78" spans="1:10">
      <c r="A78" s="449"/>
      <c r="B78" s="164">
        <v>0.45</v>
      </c>
      <c r="C78" s="124">
        <v>5</v>
      </c>
      <c r="D78" s="124">
        <v>5</v>
      </c>
      <c r="E78" s="124">
        <v>5</v>
      </c>
      <c r="F78" s="124">
        <v>5</v>
      </c>
      <c r="G78" s="205">
        <v>5</v>
      </c>
      <c r="H78" s="124">
        <v>5</v>
      </c>
      <c r="I78" s="124">
        <v>5</v>
      </c>
      <c r="J78" s="124">
        <v>5</v>
      </c>
    </row>
    <row r="79" spans="1:10">
      <c r="A79" s="449"/>
      <c r="B79" s="164">
        <v>0.6</v>
      </c>
      <c r="C79" s="124">
        <v>5</v>
      </c>
      <c r="D79" s="124">
        <v>5</v>
      </c>
      <c r="E79" s="124">
        <v>5</v>
      </c>
      <c r="F79" s="124">
        <v>5</v>
      </c>
      <c r="G79" s="205">
        <v>5</v>
      </c>
      <c r="H79" s="124">
        <v>5</v>
      </c>
      <c r="I79" s="124">
        <v>5</v>
      </c>
      <c r="J79" s="124">
        <v>5</v>
      </c>
    </row>
    <row r="80" spans="1:10">
      <c r="A80" s="449"/>
      <c r="B80" s="164">
        <v>0.75</v>
      </c>
      <c r="C80" s="124">
        <v>5</v>
      </c>
      <c r="D80" s="124">
        <v>5</v>
      </c>
      <c r="E80" s="124">
        <v>5</v>
      </c>
      <c r="F80" s="124">
        <v>5</v>
      </c>
      <c r="G80" s="205">
        <v>5</v>
      </c>
      <c r="H80" s="124">
        <v>5</v>
      </c>
      <c r="I80" s="124">
        <v>5</v>
      </c>
      <c r="J80" s="124">
        <v>5</v>
      </c>
    </row>
    <row r="81" spans="1:10" ht="14" thickBot="1">
      <c r="A81" s="449"/>
      <c r="B81" s="164">
        <v>0.9</v>
      </c>
      <c r="C81" s="124">
        <v>5</v>
      </c>
      <c r="D81" s="124">
        <v>5</v>
      </c>
      <c r="E81" s="124">
        <v>5</v>
      </c>
      <c r="F81" s="124">
        <v>5</v>
      </c>
      <c r="G81" s="206">
        <v>5</v>
      </c>
      <c r="H81" s="124">
        <v>5</v>
      </c>
      <c r="I81" s="124">
        <v>5</v>
      </c>
      <c r="J81" s="124">
        <v>1</v>
      </c>
    </row>
    <row r="82" spans="1:10" ht="14" thickBot="1">
      <c r="A82" s="450"/>
      <c r="B82" s="172">
        <v>1</v>
      </c>
      <c r="C82" s="207">
        <v>5</v>
      </c>
      <c r="D82" s="207">
        <v>5</v>
      </c>
      <c r="E82" s="207">
        <v>5</v>
      </c>
      <c r="F82" s="207">
        <v>5</v>
      </c>
      <c r="G82" s="208">
        <v>2.8333333333333335</v>
      </c>
      <c r="H82" s="207">
        <v>0.16666666666666666</v>
      </c>
      <c r="I82" s="207">
        <v>8.3333333333333329E-2</v>
      </c>
      <c r="J82" s="209">
        <v>0</v>
      </c>
    </row>
    <row r="83" spans="1:10">
      <c r="A83" s="449"/>
      <c r="B83" s="164">
        <v>1.1000000000000001</v>
      </c>
      <c r="C83" s="124">
        <v>5</v>
      </c>
      <c r="D83" s="124">
        <v>5</v>
      </c>
      <c r="E83" s="124">
        <v>5</v>
      </c>
      <c r="F83" s="124">
        <v>0.58333333333333337</v>
      </c>
      <c r="G83" s="210">
        <v>8.3333333333333329E-2</v>
      </c>
      <c r="H83" s="124">
        <v>0</v>
      </c>
      <c r="I83" s="124">
        <v>0</v>
      </c>
      <c r="J83" s="124">
        <v>0</v>
      </c>
    </row>
    <row r="84" spans="1:10" ht="14" thickBot="1">
      <c r="A84" s="451"/>
      <c r="B84" s="164">
        <v>1.2</v>
      </c>
      <c r="C84" s="124">
        <v>5</v>
      </c>
      <c r="D84" s="124">
        <v>1</v>
      </c>
      <c r="E84" s="124">
        <v>8.3333333333333329E-2</v>
      </c>
      <c r="F84" s="124">
        <v>0</v>
      </c>
      <c r="G84" s="211">
        <v>0</v>
      </c>
      <c r="H84" s="124">
        <v>0</v>
      </c>
      <c r="I84" s="124">
        <v>0</v>
      </c>
      <c r="J84" s="124">
        <v>0</v>
      </c>
    </row>
    <row r="89" spans="1:10" ht="17">
      <c r="B89" s="263" t="s">
        <v>54</v>
      </c>
      <c r="C89" t="s">
        <v>55</v>
      </c>
    </row>
    <row r="92" spans="1:10">
      <c r="C92" s="445" t="str">
        <f>C75</f>
        <v>Коэффициент чувствительности по цене реализации</v>
      </c>
      <c r="D92" s="446"/>
      <c r="E92" s="446"/>
      <c r="F92" s="446"/>
      <c r="G92" s="446"/>
      <c r="H92" s="446"/>
      <c r="I92" s="446"/>
      <c r="J92" s="447"/>
    </row>
    <row r="93" spans="1:10" ht="14" thickBot="1">
      <c r="B93" s="203">
        <f>'Інвестиційний аналіз'!B27</f>
        <v>3.3333333333333335</v>
      </c>
      <c r="C93" s="164">
        <v>0.8</v>
      </c>
      <c r="D93" s="164">
        <v>0.85</v>
      </c>
      <c r="E93" s="164">
        <v>0.9</v>
      </c>
      <c r="F93" s="164">
        <v>0.95</v>
      </c>
      <c r="G93" s="164">
        <v>1</v>
      </c>
      <c r="H93" s="164">
        <v>1.05</v>
      </c>
      <c r="I93" s="164">
        <v>1.1000000000000001</v>
      </c>
      <c r="J93" s="164">
        <v>1.1499999999999999</v>
      </c>
    </row>
    <row r="94" spans="1:10" ht="12.75" customHeight="1">
      <c r="A94" s="448" t="str">
        <f>A77</f>
        <v>Коэффициент чувствительности по объему реализации</v>
      </c>
      <c r="B94" s="164">
        <v>0.3</v>
      </c>
      <c r="C94" s="124">
        <f t="dataTable" ref="C94:J101" dt2D="1" dtr="0" r1="C108" r2="C109" ca="1"/>
        <v>5</v>
      </c>
      <c r="D94" s="124">
        <v>5</v>
      </c>
      <c r="E94" s="124">
        <v>5</v>
      </c>
      <c r="F94" s="124">
        <v>5</v>
      </c>
      <c r="G94" s="204">
        <v>5</v>
      </c>
      <c r="H94" s="124">
        <v>5</v>
      </c>
      <c r="I94" s="124">
        <v>5</v>
      </c>
      <c r="J94" s="124">
        <v>5</v>
      </c>
    </row>
    <row r="95" spans="1:10">
      <c r="A95" s="449"/>
      <c r="B95" s="164">
        <v>0.45</v>
      </c>
      <c r="C95" s="124">
        <v>5</v>
      </c>
      <c r="D95" s="124">
        <v>5</v>
      </c>
      <c r="E95" s="124">
        <v>5</v>
      </c>
      <c r="F95" s="124">
        <v>5</v>
      </c>
      <c r="G95" s="205">
        <v>5</v>
      </c>
      <c r="H95" s="124">
        <v>5</v>
      </c>
      <c r="I95" s="124">
        <v>5</v>
      </c>
      <c r="J95" s="124">
        <v>5</v>
      </c>
    </row>
    <row r="96" spans="1:10">
      <c r="A96" s="449"/>
      <c r="B96" s="164">
        <v>0.6</v>
      </c>
      <c r="C96" s="124">
        <v>5</v>
      </c>
      <c r="D96" s="124">
        <v>5</v>
      </c>
      <c r="E96" s="124">
        <v>5</v>
      </c>
      <c r="F96" s="124">
        <v>5</v>
      </c>
      <c r="G96" s="205">
        <v>5</v>
      </c>
      <c r="H96" s="124">
        <v>5</v>
      </c>
      <c r="I96" s="124">
        <v>5</v>
      </c>
      <c r="J96" s="124">
        <v>5</v>
      </c>
    </row>
    <row r="97" spans="1:10">
      <c r="A97" s="449"/>
      <c r="B97" s="164">
        <v>0.75</v>
      </c>
      <c r="C97" s="124">
        <v>5</v>
      </c>
      <c r="D97" s="124">
        <v>5</v>
      </c>
      <c r="E97" s="124">
        <v>5</v>
      </c>
      <c r="F97" s="124">
        <v>5</v>
      </c>
      <c r="G97" s="205">
        <v>5</v>
      </c>
      <c r="H97" s="124">
        <v>5</v>
      </c>
      <c r="I97" s="124">
        <v>5</v>
      </c>
      <c r="J97" s="124">
        <v>5</v>
      </c>
    </row>
    <row r="98" spans="1:10" ht="14" thickBot="1">
      <c r="A98" s="449"/>
      <c r="B98" s="164">
        <v>0.9</v>
      </c>
      <c r="C98" s="124">
        <v>5</v>
      </c>
      <c r="D98" s="124">
        <v>5</v>
      </c>
      <c r="E98" s="124">
        <v>5</v>
      </c>
      <c r="F98" s="124">
        <v>5</v>
      </c>
      <c r="G98" s="206">
        <v>5</v>
      </c>
      <c r="H98" s="124">
        <v>5</v>
      </c>
      <c r="I98" s="124">
        <v>5</v>
      </c>
      <c r="J98" s="124">
        <v>1</v>
      </c>
    </row>
    <row r="99" spans="1:10" ht="14" thickBot="1">
      <c r="A99" s="450"/>
      <c r="B99" s="172">
        <v>1</v>
      </c>
      <c r="C99" s="207">
        <v>5</v>
      </c>
      <c r="D99" s="207">
        <v>5</v>
      </c>
      <c r="E99" s="207">
        <v>5</v>
      </c>
      <c r="F99" s="207">
        <v>5</v>
      </c>
      <c r="G99" s="208">
        <v>3.3333333333333335</v>
      </c>
      <c r="H99" s="207">
        <v>0.16666666666666666</v>
      </c>
      <c r="I99" s="207">
        <v>8.3333333333333329E-2</v>
      </c>
      <c r="J99" s="209">
        <v>0</v>
      </c>
    </row>
    <row r="100" spans="1:10">
      <c r="A100" s="449"/>
      <c r="B100" s="164">
        <v>1.1000000000000001</v>
      </c>
      <c r="C100" s="124">
        <v>5</v>
      </c>
      <c r="D100" s="124">
        <v>5</v>
      </c>
      <c r="E100" s="124">
        <v>5</v>
      </c>
      <c r="F100" s="124">
        <v>0.58333333333333337</v>
      </c>
      <c r="G100" s="210">
        <v>8.3333333333333329E-2</v>
      </c>
      <c r="H100" s="124">
        <v>0</v>
      </c>
      <c r="I100" s="124">
        <v>0</v>
      </c>
      <c r="J100" s="124">
        <v>0</v>
      </c>
    </row>
    <row r="101" spans="1:10" ht="14" thickBot="1">
      <c r="A101" s="451"/>
      <c r="B101" s="164">
        <v>1.2</v>
      </c>
      <c r="C101" s="124">
        <v>5</v>
      </c>
      <c r="D101" s="124">
        <v>1</v>
      </c>
      <c r="E101" s="124">
        <v>8.3333333333333329E-2</v>
      </c>
      <c r="F101" s="124">
        <v>0</v>
      </c>
      <c r="G101" s="211">
        <v>0</v>
      </c>
      <c r="H101" s="124">
        <v>0</v>
      </c>
      <c r="I101" s="124">
        <v>0</v>
      </c>
      <c r="J101" s="124">
        <v>0</v>
      </c>
    </row>
    <row r="107" spans="1:10">
      <c r="B107" s="212" t="s">
        <v>56</v>
      </c>
      <c r="C107" s="212"/>
    </row>
    <row r="108" spans="1:10">
      <c r="B108" s="261" t="s">
        <v>133</v>
      </c>
      <c r="C108" s="264">
        <v>1</v>
      </c>
    </row>
    <row r="109" spans="1:10">
      <c r="B109" s="261" t="s">
        <v>134</v>
      </c>
      <c r="C109" s="264">
        <v>1</v>
      </c>
    </row>
    <row r="110" spans="1:10">
      <c r="B110" s="261" t="s">
        <v>135</v>
      </c>
      <c r="C110" s="264">
        <v>1</v>
      </c>
    </row>
    <row r="115" spans="1:8" ht="16">
      <c r="B115" s="265" t="s">
        <v>136</v>
      </c>
      <c r="C115" s="265"/>
    </row>
    <row r="118" spans="1:8" ht="41.25" customHeight="1">
      <c r="C118" s="262" t="s">
        <v>50</v>
      </c>
      <c r="D118" s="262" t="str">
        <f>B21</f>
        <v>ВНД</v>
      </c>
      <c r="E118" s="262" t="str">
        <f>B38</f>
        <v>EBITDA</v>
      </c>
      <c r="F118" s="262" t="str">
        <f>B55</f>
        <v>Чистая прибыль</v>
      </c>
      <c r="G118" s="262" t="str">
        <f>B72</f>
        <v>Простой срок окупаемости</v>
      </c>
      <c r="H118" s="262" t="str">
        <f>B89</f>
        <v>Дисконтированный срок окупаемости</v>
      </c>
    </row>
    <row r="119" spans="1:8">
      <c r="C119" s="230">
        <f>'Інвестиційний аналіз'!B34</f>
        <v>90122.708551577496</v>
      </c>
      <c r="D119" s="231">
        <f>B25</f>
        <v>0.30728203426071898</v>
      </c>
      <c r="E119" s="230">
        <f>B42</f>
        <v>39648.455287846504</v>
      </c>
      <c r="F119" s="230">
        <f>B59</f>
        <v>18212.865528449431</v>
      </c>
      <c r="G119" s="232">
        <f>B76</f>
        <v>2.8333333333333335</v>
      </c>
      <c r="H119" s="232">
        <f>B93</f>
        <v>3.3333333333333335</v>
      </c>
    </row>
    <row r="120" spans="1:8">
      <c r="A120" s="448" t="s">
        <v>137</v>
      </c>
      <c r="B120" s="228">
        <v>0.75</v>
      </c>
      <c r="C120" s="229">
        <f t="dataTable" ref="C120:H127" dt2D="0" dtr="0" r1="C110" ca="1"/>
        <v>90122.708551577496</v>
      </c>
      <c r="D120" s="184">
        <v>0.30728203426071898</v>
      </c>
      <c r="E120" s="123">
        <v>39648.455287846504</v>
      </c>
      <c r="F120" s="123">
        <v>18212.865528449431</v>
      </c>
      <c r="G120" s="124">
        <v>2.8333333333333335</v>
      </c>
      <c r="H120" s="124">
        <v>3.3333333333333335</v>
      </c>
    </row>
    <row r="121" spans="1:8">
      <c r="A121" s="449"/>
      <c r="B121" s="228">
        <v>0.8</v>
      </c>
      <c r="C121" s="229">
        <v>90122.708551577496</v>
      </c>
      <c r="D121" s="184">
        <v>0.30728203426071898</v>
      </c>
      <c r="E121" s="123">
        <v>39648.455287846504</v>
      </c>
      <c r="F121" s="123">
        <v>18212.865528449431</v>
      </c>
      <c r="G121" s="124">
        <v>2.8333333333333335</v>
      </c>
      <c r="H121" s="124">
        <v>3.3333333333333335</v>
      </c>
    </row>
    <row r="122" spans="1:8">
      <c r="A122" s="449"/>
      <c r="B122" s="228">
        <v>0.85</v>
      </c>
      <c r="C122" s="229">
        <v>90122.708551577496</v>
      </c>
      <c r="D122" s="184">
        <v>0.30728203426071898</v>
      </c>
      <c r="E122" s="123">
        <v>39648.455287846504</v>
      </c>
      <c r="F122" s="123">
        <v>18212.865528449431</v>
      </c>
      <c r="G122" s="124">
        <v>2.8333333333333335</v>
      </c>
      <c r="H122" s="124">
        <v>3.3333333333333335</v>
      </c>
    </row>
    <row r="123" spans="1:8">
      <c r="A123" s="449"/>
      <c r="B123" s="228">
        <v>0.9</v>
      </c>
      <c r="C123" s="229">
        <v>90122.708551577496</v>
      </c>
      <c r="D123" s="184">
        <v>0.30728203426071898</v>
      </c>
      <c r="E123" s="123">
        <v>39648.455287846504</v>
      </c>
      <c r="F123" s="123">
        <v>18212.865528449431</v>
      </c>
      <c r="G123" s="124">
        <v>2.8333333333333335</v>
      </c>
      <c r="H123" s="124">
        <v>3.3333333333333335</v>
      </c>
    </row>
    <row r="124" spans="1:8" ht="14" thickBot="1">
      <c r="A124" s="449"/>
      <c r="B124" s="235">
        <v>0.95</v>
      </c>
      <c r="C124" s="236">
        <v>90122.708551577496</v>
      </c>
      <c r="D124" s="189">
        <v>0.30728203426071898</v>
      </c>
      <c r="E124" s="169">
        <v>39648.455287846504</v>
      </c>
      <c r="F124" s="169">
        <v>18212.865528449431</v>
      </c>
      <c r="G124" s="237">
        <v>2.8333333333333335</v>
      </c>
      <c r="H124" s="237">
        <v>3.3333333333333335</v>
      </c>
    </row>
    <row r="125" spans="1:8" ht="14" thickBot="1">
      <c r="A125" s="450"/>
      <c r="B125" s="241">
        <v>1</v>
      </c>
      <c r="C125" s="242">
        <v>90122.708551577496</v>
      </c>
      <c r="D125" s="243">
        <v>0.30728203426071898</v>
      </c>
      <c r="E125" s="244">
        <v>39648.455287846504</v>
      </c>
      <c r="F125" s="244">
        <v>18212.865528449431</v>
      </c>
      <c r="G125" s="245">
        <v>2.8333333333333335</v>
      </c>
      <c r="H125" s="246">
        <v>3.3333333333333335</v>
      </c>
    </row>
    <row r="126" spans="1:8">
      <c r="A126" s="449"/>
      <c r="B126" s="238">
        <v>1.1000000000000001</v>
      </c>
      <c r="C126" s="239">
        <v>90122.708551577496</v>
      </c>
      <c r="D126" s="199">
        <v>0.30728203426071898</v>
      </c>
      <c r="E126" s="177">
        <v>39648.455287846504</v>
      </c>
      <c r="F126" s="177">
        <v>18212.865528449431</v>
      </c>
      <c r="G126" s="240">
        <v>2.8333333333333335</v>
      </c>
      <c r="H126" s="240">
        <v>3.3333333333333335</v>
      </c>
    </row>
    <row r="127" spans="1:8">
      <c r="A127" s="451"/>
      <c r="B127" s="228">
        <v>1.2</v>
      </c>
      <c r="C127" s="229">
        <v>90122.708551577496</v>
      </c>
      <c r="D127" s="184">
        <v>0.30728203426071898</v>
      </c>
      <c r="E127" s="123">
        <v>39648.455287846504</v>
      </c>
      <c r="F127" s="123">
        <v>18212.865528449431</v>
      </c>
      <c r="G127" s="124">
        <v>2.8333333333333335</v>
      </c>
      <c r="H127" s="124">
        <v>3.3333333333333335</v>
      </c>
    </row>
  </sheetData>
  <mergeCells count="13">
    <mergeCell ref="C75:J75"/>
    <mergeCell ref="A77:A84"/>
    <mergeCell ref="C92:J92"/>
    <mergeCell ref="A94:A101"/>
    <mergeCell ref="A120:A127"/>
    <mergeCell ref="C58:J58"/>
    <mergeCell ref="A60:A67"/>
    <mergeCell ref="C7:J7"/>
    <mergeCell ref="A9:A16"/>
    <mergeCell ref="C24:J24"/>
    <mergeCell ref="A26:A33"/>
    <mergeCell ref="C41:J41"/>
    <mergeCell ref="A43:A50"/>
  </mergeCells>
  <conditionalFormatting sqref="C9:J16">
    <cfRule type="cellIs" dxfId="67" priority="69" stopIfTrue="1" operator="lessThan">
      <formula>0</formula>
    </cfRule>
    <cfRule type="cellIs" dxfId="66" priority="70" stopIfTrue="1" operator="greaterThan">
      <formula>0</formula>
    </cfRule>
  </conditionalFormatting>
  <conditionalFormatting sqref="C26:J33">
    <cfRule type="cellIs" dxfId="65" priority="67" stopIfTrue="1" operator="lessThan">
      <formula>0</formula>
    </cfRule>
    <cfRule type="cellIs" dxfId="64" priority="68" stopIfTrue="1" operator="greaterThan">
      <formula>0</formula>
    </cfRule>
  </conditionalFormatting>
  <conditionalFormatting sqref="C49:J50 C43:J47">
    <cfRule type="cellIs" dxfId="63" priority="65" stopIfTrue="1" operator="lessThan">
      <formula>0</formula>
    </cfRule>
    <cfRule type="cellIs" dxfId="62" priority="66" stopIfTrue="1" operator="greaterThan">
      <formula>0</formula>
    </cfRule>
  </conditionalFormatting>
  <conditionalFormatting sqref="C66:J67 C60:J64">
    <cfRule type="cellIs" dxfId="61" priority="63" stopIfTrue="1" operator="lessThan">
      <formula>0</formula>
    </cfRule>
    <cfRule type="cellIs" dxfId="60" priority="64" stopIfTrue="1" operator="greaterThan">
      <formula>0</formula>
    </cfRule>
  </conditionalFormatting>
  <conditionalFormatting sqref="C77:J81 C83:J84">
    <cfRule type="cellIs" dxfId="59" priority="61" stopIfTrue="1" operator="lessThan">
      <formula>0</formula>
    </cfRule>
    <cfRule type="cellIs" dxfId="58" priority="62" stopIfTrue="1" operator="greaterThan">
      <formula>0</formula>
    </cfRule>
  </conditionalFormatting>
  <conditionalFormatting sqref="C48:J48">
    <cfRule type="cellIs" dxfId="57" priority="59" stopIfTrue="1" operator="lessThan">
      <formula>0</formula>
    </cfRule>
    <cfRule type="cellIs" dxfId="56" priority="60" stopIfTrue="1" operator="greaterThan">
      <formula>0</formula>
    </cfRule>
  </conditionalFormatting>
  <conditionalFormatting sqref="C65:J65">
    <cfRule type="cellIs" dxfId="55" priority="57" stopIfTrue="1" operator="lessThan">
      <formula>0</formula>
    </cfRule>
    <cfRule type="cellIs" dxfId="54" priority="58" stopIfTrue="1" operator="greaterThan">
      <formula>0</formula>
    </cfRule>
  </conditionalFormatting>
  <conditionalFormatting sqref="H43:H50">
    <cfRule type="cellIs" dxfId="53" priority="55" stopIfTrue="1" operator="lessThan">
      <formula>0</formula>
    </cfRule>
    <cfRule type="cellIs" dxfId="52" priority="56" stopIfTrue="1" operator="greaterThan">
      <formula>0</formula>
    </cfRule>
  </conditionalFormatting>
  <conditionalFormatting sqref="H60:H67">
    <cfRule type="cellIs" dxfId="51" priority="53" stopIfTrue="1" operator="lessThan">
      <formula>0</formula>
    </cfRule>
    <cfRule type="cellIs" dxfId="50" priority="54" stopIfTrue="1" operator="greaterThan">
      <formula>0</formula>
    </cfRule>
  </conditionalFormatting>
  <conditionalFormatting sqref="H77:H81 H83:H84">
    <cfRule type="cellIs" dxfId="49" priority="51" stopIfTrue="1" operator="lessThan">
      <formula>0</formula>
    </cfRule>
    <cfRule type="cellIs" dxfId="48" priority="52" stopIfTrue="1" operator="greaterThan">
      <formula>0</formula>
    </cfRule>
  </conditionalFormatting>
  <conditionalFormatting sqref="C82:J82">
    <cfRule type="cellIs" dxfId="47" priority="49" stopIfTrue="1" operator="lessThan">
      <formula>0</formula>
    </cfRule>
    <cfRule type="cellIs" dxfId="46" priority="50" stopIfTrue="1" operator="greaterThan">
      <formula>0</formula>
    </cfRule>
  </conditionalFormatting>
  <conditionalFormatting sqref="H82">
    <cfRule type="cellIs" dxfId="45" priority="47" stopIfTrue="1" operator="lessThan">
      <formula>0</formula>
    </cfRule>
    <cfRule type="cellIs" dxfId="44" priority="48" stopIfTrue="1" operator="greaterThan">
      <formula>0</formula>
    </cfRule>
  </conditionalFormatting>
  <conditionalFormatting sqref="C94:J98 C100:J101">
    <cfRule type="cellIs" dxfId="43" priority="43" stopIfTrue="1" operator="lessThan">
      <formula>0</formula>
    </cfRule>
    <cfRule type="cellIs" dxfId="42" priority="44" stopIfTrue="1" operator="greaterThan">
      <formula>0</formula>
    </cfRule>
  </conditionalFormatting>
  <conditionalFormatting sqref="H94:H98 H100:H101">
    <cfRule type="cellIs" dxfId="41" priority="41" stopIfTrue="1" operator="lessThan">
      <formula>0</formula>
    </cfRule>
    <cfRule type="cellIs" dxfId="40" priority="42" stopIfTrue="1" operator="greaterThan">
      <formula>0</formula>
    </cfRule>
  </conditionalFormatting>
  <conditionalFormatting sqref="C99:J99">
    <cfRule type="cellIs" dxfId="39" priority="39" stopIfTrue="1" operator="lessThan">
      <formula>0</formula>
    </cfRule>
    <cfRule type="cellIs" dxfId="38" priority="40" stopIfTrue="1" operator="greaterThan">
      <formula>0</formula>
    </cfRule>
  </conditionalFormatting>
  <conditionalFormatting sqref="H99">
    <cfRule type="cellIs" dxfId="37" priority="37" stopIfTrue="1" operator="lessThan">
      <formula>0</formula>
    </cfRule>
    <cfRule type="cellIs" dxfId="36" priority="38" stopIfTrue="1" operator="greaterThan">
      <formula>0</formula>
    </cfRule>
  </conditionalFormatting>
  <conditionalFormatting sqref="C77:J84">
    <cfRule type="cellIs" dxfId="35" priority="1" stopIfTrue="1" operator="equal">
      <formula>8</formula>
    </cfRule>
    <cfRule type="cellIs" dxfId="34" priority="30" stopIfTrue="1" operator="lessThan">
      <formula>8</formula>
    </cfRule>
    <cfRule type="cellIs" dxfId="33" priority="31" stopIfTrue="1" operator="greaterThan">
      <formula>8</formula>
    </cfRule>
    <cfRule type="cellIs" dxfId="32" priority="45" stopIfTrue="1" operator="greaterThan">
      <formula>4.95</formula>
    </cfRule>
    <cfRule type="cellIs" dxfId="31" priority="46" stopIfTrue="1" operator="lessThan">
      <formula>4.95</formula>
    </cfRule>
  </conditionalFormatting>
  <conditionalFormatting sqref="C94:J101">
    <cfRule type="cellIs" dxfId="30" priority="2" stopIfTrue="1" operator="equal">
      <formula>8</formula>
    </cfRule>
    <cfRule type="cellIs" dxfId="29" priority="3" stopIfTrue="1" operator="lessThan">
      <formula>8</formula>
    </cfRule>
    <cfRule type="cellIs" dxfId="28" priority="32" stopIfTrue="1" operator="lessThan">
      <formula>8</formula>
    </cfRule>
    <cfRule type="cellIs" dxfId="27" priority="33" stopIfTrue="1" operator="greaterThan">
      <formula>8</formula>
    </cfRule>
    <cfRule type="cellIs" dxfId="26" priority="34" stopIfTrue="1" operator="lessThan">
      <formula>8</formula>
    </cfRule>
    <cfRule type="cellIs" dxfId="25" priority="35" stopIfTrue="1" operator="greaterThan">
      <formula>4.95</formula>
    </cfRule>
    <cfRule type="cellIs" dxfId="24" priority="36" stopIfTrue="1" operator="lessThan">
      <formula>4.95</formula>
    </cfRule>
  </conditionalFormatting>
  <conditionalFormatting sqref="G77:G81 G83:G84">
    <cfRule type="cellIs" dxfId="23" priority="28" stopIfTrue="1" operator="lessThan">
      <formula>0</formula>
    </cfRule>
    <cfRule type="cellIs" dxfId="22" priority="29" stopIfTrue="1" operator="greaterThan">
      <formula>0</formula>
    </cfRule>
  </conditionalFormatting>
  <conditionalFormatting sqref="G82">
    <cfRule type="cellIs" dxfId="21" priority="26" stopIfTrue="1" operator="lessThan">
      <formula>0</formula>
    </cfRule>
    <cfRule type="cellIs" dxfId="20" priority="27" stopIfTrue="1" operator="greaterThan">
      <formula>0</formula>
    </cfRule>
  </conditionalFormatting>
  <conditionalFormatting sqref="G94:G98 G100:G101">
    <cfRule type="cellIs" dxfId="19" priority="24" stopIfTrue="1" operator="lessThan">
      <formula>0</formula>
    </cfRule>
    <cfRule type="cellIs" dxfId="18" priority="25" stopIfTrue="1" operator="greaterThan">
      <formula>0</formula>
    </cfRule>
  </conditionalFormatting>
  <conditionalFormatting sqref="G99">
    <cfRule type="cellIs" dxfId="17" priority="22" stopIfTrue="1" operator="lessThan">
      <formula>0</formula>
    </cfRule>
    <cfRule type="cellIs" dxfId="16" priority="23" stopIfTrue="1" operator="greaterThan">
      <formula>0</formula>
    </cfRule>
  </conditionalFormatting>
  <conditionalFormatting sqref="G60:G67">
    <cfRule type="cellIs" dxfId="15" priority="20" stopIfTrue="1" operator="lessThan">
      <formula>0</formula>
    </cfRule>
    <cfRule type="cellIs" dxfId="14" priority="21" stopIfTrue="1" operator="greaterThan">
      <formula>0</formula>
    </cfRule>
  </conditionalFormatting>
  <conditionalFormatting sqref="G43:G50">
    <cfRule type="cellIs" dxfId="13" priority="18" stopIfTrue="1" operator="lessThan">
      <formula>0</formula>
    </cfRule>
    <cfRule type="cellIs" dxfId="12" priority="19" stopIfTrue="1" operator="greaterThan">
      <formula>0</formula>
    </cfRule>
  </conditionalFormatting>
  <conditionalFormatting sqref="C120:C127">
    <cfRule type="cellIs" dxfId="11" priority="16" stopIfTrue="1" operator="lessThan">
      <formula>0</formula>
    </cfRule>
    <cfRule type="cellIs" dxfId="10" priority="17" stopIfTrue="1" operator="greaterThan">
      <formula>0</formula>
    </cfRule>
  </conditionalFormatting>
  <conditionalFormatting sqref="D120:D127">
    <cfRule type="cellIs" dxfId="9" priority="12" stopIfTrue="1" operator="lessThan">
      <formula>0</formula>
    </cfRule>
    <cfRule type="cellIs" dxfId="8" priority="13" stopIfTrue="1" operator="greaterThan">
      <formula>0</formula>
    </cfRule>
  </conditionalFormatting>
  <conditionalFormatting sqref="E120:F127">
    <cfRule type="cellIs" dxfId="7" priority="10" stopIfTrue="1" operator="lessThan">
      <formula>0</formula>
    </cfRule>
    <cfRule type="cellIs" dxfId="6" priority="11" stopIfTrue="1" operator="greaterThan">
      <formula>0</formula>
    </cfRule>
  </conditionalFormatting>
  <conditionalFormatting sqref="G120:H127">
    <cfRule type="cellIs" dxfId="5" priority="8" stopIfTrue="1" operator="lessThan">
      <formula>0</formula>
    </cfRule>
    <cfRule type="cellIs" dxfId="4" priority="9" stopIfTrue="1" operator="greaterThan">
      <formula>0</formula>
    </cfRule>
  </conditionalFormatting>
  <conditionalFormatting sqref="G120:H127">
    <cfRule type="cellIs" dxfId="3" priority="4" stopIfTrue="1" operator="lessThan">
      <formula>8</formula>
    </cfRule>
    <cfRule type="cellIs" dxfId="2" priority="5" stopIfTrue="1" operator="greaterThan">
      <formula>8</formula>
    </cfRule>
    <cfRule type="cellIs" dxfId="1" priority="6" stopIfTrue="1" operator="greaterThan">
      <formula>4.95</formula>
    </cfRule>
    <cfRule type="cellIs" dxfId="0" priority="7" stopIfTrue="1" operator="lessThan">
      <formula>4.95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2"/>
  <sheetViews>
    <sheetView topLeftCell="A4" workbookViewId="0">
      <selection activeCell="H31" sqref="H31"/>
    </sheetView>
  </sheetViews>
  <sheetFormatPr baseColWidth="10" defaultColWidth="8.6640625" defaultRowHeight="13"/>
  <cols>
    <col min="1" max="1" width="62.5" customWidth="1"/>
    <col min="2" max="2" width="30.33203125" bestFit="1" customWidth="1"/>
  </cols>
  <sheetData>
    <row r="1" spans="1:2" ht="23">
      <c r="A1" s="427" t="s">
        <v>217</v>
      </c>
      <c r="B1" s="427"/>
    </row>
    <row r="2" spans="1:2">
      <c r="A2" s="96"/>
      <c r="B2" s="96"/>
    </row>
    <row r="3" spans="1:2">
      <c r="A3" s="96"/>
      <c r="B3" s="96"/>
    </row>
    <row r="4" spans="1:2">
      <c r="A4" s="58" t="s">
        <v>218</v>
      </c>
      <c r="B4" s="135" t="s">
        <v>219</v>
      </c>
    </row>
    <row r="5" spans="1:2">
      <c r="A5" s="37" t="str">
        <f>'Финансовий аналіз'!A16</f>
        <v>Середній обсяг реалізації продукції грн/міс.</v>
      </c>
      <c r="B5" s="155">
        <f>'Финансовий аналіз'!B16</f>
        <v>904677.80503695994</v>
      </c>
    </row>
    <row r="6" spans="1:2">
      <c r="A6" s="37" t="str">
        <f>'Финансовий аналіз'!A17</f>
        <v>Середній обсяг поточних витрат, грн/міс.</v>
      </c>
      <c r="B6" s="155">
        <f>'Финансовий аналіз'!B17</f>
        <v>865029.34974911367</v>
      </c>
    </row>
    <row r="7" spans="1:2">
      <c r="A7" s="37" t="str">
        <f>'Финансовий аналіз'!A18</f>
        <v>EBITDA, грн/міс.</v>
      </c>
      <c r="B7" s="155">
        <f>'Финансовий аналіз'!B18</f>
        <v>39648.455287846504</v>
      </c>
    </row>
    <row r="8" spans="1:2">
      <c r="A8" s="37" t="str">
        <f>'Финансовий аналіз'!A19</f>
        <v>Чистий прибуток, грн/міс.</v>
      </c>
      <c r="B8" s="155">
        <f>'Финансовий аналіз'!B19</f>
        <v>18212.865528449431</v>
      </c>
    </row>
    <row r="9" spans="1:2">
      <c r="A9" s="37" t="str">
        <f>'Финансовий аналіз'!A20</f>
        <v>Грошовий потік, грн/міс.</v>
      </c>
      <c r="B9" s="155">
        <f>'Финансовий аналіз'!B20</f>
        <v>18387.784641227205</v>
      </c>
    </row>
    <row r="10" spans="1:2">
      <c r="A10" s="96"/>
      <c r="B10" s="156"/>
    </row>
    <row r="11" spans="1:2">
      <c r="A11" s="58" t="s">
        <v>220</v>
      </c>
      <c r="B11" s="135" t="str">
        <f>B25</f>
        <v>Значення за проєктом</v>
      </c>
    </row>
    <row r="12" spans="1:2">
      <c r="A12" s="37" t="str">
        <f>'Розрахунок точки беззбитковості'!A12</f>
        <v>Точка беззбитковості, % реалізації продукції</v>
      </c>
      <c r="B12" s="157">
        <f>'Розрахунок точки беззбитковості'!B12</f>
        <v>0.90037977581848239</v>
      </c>
    </row>
    <row r="13" spans="1:2">
      <c r="A13" s="37" t="str">
        <f>'Розрахунок точки беззбитковості'!A13</f>
        <v>Точка беззбитковості, грн реалізації продукції</v>
      </c>
      <c r="B13" s="155">
        <f>'Розрахунок точки беззбитковості'!B13</f>
        <v>48873215.957228079</v>
      </c>
    </row>
    <row r="14" spans="1:2">
      <c r="A14" s="37" t="str">
        <f>'Розрахунок точки беззбитковості'!A14</f>
        <v>Точка беззбитковості, грн в середньому на міс.</v>
      </c>
      <c r="B14" s="155">
        <f>'Розрахунок точки беззбитковості'!B14</f>
        <v>814553.59928713471</v>
      </c>
    </row>
    <row r="15" spans="1:2">
      <c r="A15" s="37" t="str">
        <f>'Розрахунок точки беззбитковості'!A15</f>
        <v>Величина операційного важеля</v>
      </c>
      <c r="B15" s="157">
        <f>'Розрахунок точки беззбитковості'!B15</f>
        <v>0.36454431882945626</v>
      </c>
    </row>
    <row r="16" spans="1:2">
      <c r="A16" s="97"/>
      <c r="B16" s="158"/>
    </row>
    <row r="17" spans="1:3">
      <c r="A17" s="58" t="s">
        <v>283</v>
      </c>
      <c r="B17" s="135" t="str">
        <f>'Финансовий аналіз'!B5</f>
        <v>Середні значення за проєктом</v>
      </c>
    </row>
    <row r="18" spans="1:3">
      <c r="A18" s="37" t="str">
        <f>'Финансовий аналіз'!A6</f>
        <v xml:space="preserve">Рентабельність реалізації продукції по чистому прибутку </v>
      </c>
      <c r="B18" s="157">
        <f>'Финансовий аналіз'!B6</f>
        <v>2.1417589903293725E-2</v>
      </c>
    </row>
    <row r="19" spans="1:3">
      <c r="A19" s="37" t="str">
        <f>'Финансовий аналіз'!A7</f>
        <v>Рентабельність реалізації продукції по EBITDA</v>
      </c>
      <c r="B19" s="157">
        <f>'Финансовий аналіз'!B7</f>
        <v>3.6949286113246112E-2</v>
      </c>
    </row>
    <row r="20" spans="1:3">
      <c r="A20" s="37" t="str">
        <f>'Финансовий аналіз'!A8</f>
        <v>Рентабельність активів</v>
      </c>
      <c r="B20" s="160">
        <f>'Финансовий аналіз'!B8</f>
        <v>4.1441273718626562E-2</v>
      </c>
    </row>
    <row r="21" spans="1:3">
      <c r="A21" s="97"/>
      <c r="B21" s="158"/>
    </row>
    <row r="22" spans="1:3">
      <c r="A22" s="58" t="s">
        <v>284</v>
      </c>
      <c r="B22" s="135" t="str">
        <f>B17</f>
        <v>Середні значення за проєктом</v>
      </c>
    </row>
    <row r="23" spans="1:3">
      <c r="A23" s="37" t="str">
        <f>'Финансовий аналіз'!A12</f>
        <v xml:space="preserve">Оборотність </v>
      </c>
      <c r="B23" s="159">
        <f>'Финансовий аналіз'!B12</f>
        <v>2.5267294729498513</v>
      </c>
    </row>
    <row r="24" spans="1:3">
      <c r="A24" s="97"/>
      <c r="B24" s="158"/>
    </row>
    <row r="25" spans="1:3">
      <c r="A25" s="58" t="s">
        <v>285</v>
      </c>
      <c r="B25" s="135" t="s">
        <v>223</v>
      </c>
    </row>
    <row r="26" spans="1:3">
      <c r="A26" s="37" t="s">
        <v>226</v>
      </c>
      <c r="B26" s="155">
        <v>60</v>
      </c>
      <c r="C26" s="14"/>
    </row>
    <row r="27" spans="1:3">
      <c r="A27" s="37" t="s">
        <v>227</v>
      </c>
      <c r="B27" s="160">
        <f>'Інвестиційний аналіз'!B22</f>
        <v>0.15</v>
      </c>
      <c r="C27" s="14"/>
    </row>
    <row r="28" spans="1:3">
      <c r="A28" s="37" t="str">
        <f>'Інвестиційний аналіз'!A31</f>
        <v>IRR (Внутрішня норма доходності), % на рік</v>
      </c>
      <c r="B28" s="160">
        <f>'Інвестиційний аналіз'!B31</f>
        <v>0.30728203426071898</v>
      </c>
      <c r="C28" s="14">
        <f>'Інвестиційний аналіз'!B66</f>
        <v>0.19109088534482455</v>
      </c>
    </row>
    <row r="29" spans="1:3">
      <c r="A29" s="37" t="s">
        <v>228</v>
      </c>
      <c r="B29" s="155">
        <f>'Інвестиційний план'!B63</f>
        <v>1463356.6003333339</v>
      </c>
    </row>
    <row r="30" spans="1:3">
      <c r="A30" s="37" t="s">
        <v>229</v>
      </c>
      <c r="B30" s="155">
        <f>'Інвестиційний аналіз'!B6</f>
        <v>239495.07847363211</v>
      </c>
    </row>
    <row r="31" spans="1:3">
      <c r="A31" s="37" t="str">
        <f>'Інвестиційний аналіз'!A34</f>
        <v>NPV (Чистий дисконтований дохід)</v>
      </c>
      <c r="B31" s="155">
        <f>'Інвестиційний аналіз'!B34</f>
        <v>90122.708551577496</v>
      </c>
    </row>
    <row r="32" spans="1:3">
      <c r="A32" s="37" t="str">
        <f>'Інвестиційний аналіз'!A35</f>
        <v>NPV (Чистий дисконтований дохід) з урахуванням вартості бізнесу</v>
      </c>
      <c r="B32" s="155">
        <f>'Інвестиційний аналіз'!B35</f>
        <v>855525.97254249221</v>
      </c>
    </row>
    <row r="33" spans="1:2">
      <c r="A33" s="37" t="s">
        <v>210</v>
      </c>
      <c r="B33" s="155">
        <f>'Інвестиційний аналіз'!B41</f>
        <v>765403.26399091468</v>
      </c>
    </row>
    <row r="34" spans="1:2">
      <c r="A34" s="133" t="str">
        <f>'Інвестиційний аналіз'!A25</f>
        <v>PB (Простий термін окупності), роки</v>
      </c>
      <c r="B34" s="161">
        <f>'Інвестиційний аналіз'!B25</f>
        <v>2.8333333333333335</v>
      </c>
    </row>
    <row r="35" spans="1:2">
      <c r="A35" s="37" t="str">
        <f>'Інвестиційний аналіз'!A27</f>
        <v>DPB (Дисконтований термін окупності), роки</v>
      </c>
      <c r="B35" s="161">
        <f>'Інвестиційний аналіз'!B27</f>
        <v>3.3333333333333335</v>
      </c>
    </row>
    <row r="36" spans="1:2">
      <c r="A36" s="37" t="str">
        <f>'Інвестиційний аналіз'!A28</f>
        <v>PI (Індекс доходності за проєктом)</v>
      </c>
      <c r="B36" s="159">
        <f>'Інвестиційний аналіз'!B28</f>
        <v>1.0623732957305445</v>
      </c>
    </row>
    <row r="38" spans="1:2" hidden="1">
      <c r="A38" s="58" t="s">
        <v>65</v>
      </c>
      <c r="B38" s="135"/>
    </row>
    <row r="39" spans="1:2" hidden="1">
      <c r="A39" s="37" t="s">
        <v>79</v>
      </c>
      <c r="B39" s="155">
        <f>'Інвестиційний план'!B64</f>
        <v>1024349.6202333337</v>
      </c>
    </row>
    <row r="40" spans="1:2" hidden="1">
      <c r="A40" s="37" t="s">
        <v>66</v>
      </c>
      <c r="B40" s="160">
        <f>Кредит!B20</f>
        <v>0</v>
      </c>
    </row>
    <row r="41" spans="1:2" hidden="1">
      <c r="A41" s="37" t="s">
        <v>67</v>
      </c>
      <c r="B41" s="155">
        <f>ОДДС!B101</f>
        <v>325447.60000000003</v>
      </c>
    </row>
    <row r="42" spans="1:2" hidden="1">
      <c r="A42" s="37" t="s">
        <v>68</v>
      </c>
      <c r="B42" s="155">
        <f>ОДДС!B98</f>
        <v>0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BJ90"/>
  <sheetViews>
    <sheetView topLeftCell="A13" zoomScale="80" zoomScaleNormal="80" workbookViewId="0">
      <pane xSplit="1" topLeftCell="B1" activePane="topRight" state="frozen"/>
      <selection pane="topRight" activeCell="G51" sqref="G51"/>
    </sheetView>
  </sheetViews>
  <sheetFormatPr baseColWidth="10" defaultColWidth="9.1640625" defaultRowHeight="12"/>
  <cols>
    <col min="1" max="1" width="48" style="7" customWidth="1"/>
    <col min="2" max="2" width="19.1640625" style="7" customWidth="1"/>
    <col min="3" max="3" width="21" style="7" customWidth="1"/>
    <col min="4" max="6" width="17.5" style="7" bestFit="1" customWidth="1"/>
    <col min="7" max="7" width="23.6640625" style="7" customWidth="1"/>
    <col min="8" max="62" width="17.5" style="7" bestFit="1" customWidth="1"/>
    <col min="63" max="16384" width="9.1640625" style="7"/>
  </cols>
  <sheetData>
    <row r="1" spans="1:62" ht="20">
      <c r="A1" s="29" t="s">
        <v>234</v>
      </c>
      <c r="B1" s="102" t="s">
        <v>251</v>
      </c>
    </row>
    <row r="3" spans="1:62" ht="12.75" customHeight="1">
      <c r="C3" s="430" t="s">
        <v>30</v>
      </c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1" t="s">
        <v>31</v>
      </c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2" t="s">
        <v>32</v>
      </c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28" t="s">
        <v>33</v>
      </c>
      <c r="AN3" s="428"/>
      <c r="AO3" s="428"/>
      <c r="AP3" s="428"/>
      <c r="AQ3" s="428"/>
      <c r="AR3" s="428"/>
      <c r="AS3" s="428"/>
      <c r="AT3" s="428"/>
      <c r="AU3" s="428"/>
      <c r="AV3" s="428"/>
      <c r="AW3" s="428"/>
      <c r="AX3" s="428"/>
      <c r="AY3" s="429" t="s">
        <v>34</v>
      </c>
      <c r="AZ3" s="429"/>
      <c r="BA3" s="429"/>
      <c r="BB3" s="429"/>
      <c r="BC3" s="429"/>
      <c r="BD3" s="429"/>
      <c r="BE3" s="429"/>
      <c r="BF3" s="429"/>
      <c r="BG3" s="429"/>
      <c r="BH3" s="429"/>
      <c r="BI3" s="429"/>
      <c r="BJ3" s="429"/>
    </row>
    <row r="4" spans="1:62" s="16" customFormat="1" ht="13">
      <c r="A4" s="23" t="s">
        <v>2</v>
      </c>
      <c r="B4" s="103" t="s">
        <v>250</v>
      </c>
      <c r="C4" s="24">
        <f>Титул!B17</f>
        <v>44562</v>
      </c>
      <c r="D4" s="24">
        <f>EDATE(C4,1)</f>
        <v>44593</v>
      </c>
      <c r="E4" s="24">
        <f t="shared" ref="E4:AM4" si="0">EDATE(D4,1)</f>
        <v>44621</v>
      </c>
      <c r="F4" s="24">
        <f t="shared" si="0"/>
        <v>44652</v>
      </c>
      <c r="G4" s="24">
        <f t="shared" si="0"/>
        <v>44682</v>
      </c>
      <c r="H4" s="24">
        <f t="shared" si="0"/>
        <v>44713</v>
      </c>
      <c r="I4" s="24">
        <f t="shared" si="0"/>
        <v>44743</v>
      </c>
      <c r="J4" s="24">
        <f t="shared" si="0"/>
        <v>44774</v>
      </c>
      <c r="K4" s="24">
        <f t="shared" si="0"/>
        <v>44805</v>
      </c>
      <c r="L4" s="24">
        <f t="shared" si="0"/>
        <v>44835</v>
      </c>
      <c r="M4" s="24">
        <f t="shared" si="0"/>
        <v>44866</v>
      </c>
      <c r="N4" s="24">
        <f t="shared" si="0"/>
        <v>44896</v>
      </c>
      <c r="O4" s="24">
        <f t="shared" si="0"/>
        <v>44927</v>
      </c>
      <c r="P4" s="24">
        <f>EDATE(O4,1)</f>
        <v>44958</v>
      </c>
      <c r="Q4" s="24">
        <f t="shared" si="0"/>
        <v>44986</v>
      </c>
      <c r="R4" s="24">
        <f t="shared" si="0"/>
        <v>45017</v>
      </c>
      <c r="S4" s="24">
        <f t="shared" si="0"/>
        <v>45047</v>
      </c>
      <c r="T4" s="24">
        <f t="shared" si="0"/>
        <v>45078</v>
      </c>
      <c r="U4" s="24">
        <f t="shared" si="0"/>
        <v>45108</v>
      </c>
      <c r="V4" s="24">
        <f t="shared" si="0"/>
        <v>45139</v>
      </c>
      <c r="W4" s="24">
        <f t="shared" si="0"/>
        <v>45170</v>
      </c>
      <c r="X4" s="24">
        <f t="shared" si="0"/>
        <v>45200</v>
      </c>
      <c r="Y4" s="24">
        <f t="shared" si="0"/>
        <v>45231</v>
      </c>
      <c r="Z4" s="24">
        <f t="shared" si="0"/>
        <v>45261</v>
      </c>
      <c r="AA4" s="24">
        <f t="shared" si="0"/>
        <v>45292</v>
      </c>
      <c r="AB4" s="24">
        <f t="shared" si="0"/>
        <v>45323</v>
      </c>
      <c r="AC4" s="24">
        <f t="shared" si="0"/>
        <v>45352</v>
      </c>
      <c r="AD4" s="24">
        <f t="shared" si="0"/>
        <v>45383</v>
      </c>
      <c r="AE4" s="24">
        <f t="shared" si="0"/>
        <v>45413</v>
      </c>
      <c r="AF4" s="24">
        <f t="shared" si="0"/>
        <v>45444</v>
      </c>
      <c r="AG4" s="24">
        <f t="shared" si="0"/>
        <v>45474</v>
      </c>
      <c r="AH4" s="24">
        <f t="shared" si="0"/>
        <v>45505</v>
      </c>
      <c r="AI4" s="24">
        <f t="shared" si="0"/>
        <v>45536</v>
      </c>
      <c r="AJ4" s="24">
        <f t="shared" si="0"/>
        <v>45566</v>
      </c>
      <c r="AK4" s="24">
        <f t="shared" si="0"/>
        <v>45597</v>
      </c>
      <c r="AL4" s="24">
        <f t="shared" si="0"/>
        <v>45627</v>
      </c>
      <c r="AM4" s="24">
        <f t="shared" si="0"/>
        <v>45658</v>
      </c>
      <c r="AN4" s="24">
        <f t="shared" ref="AN4" si="1">EDATE(AM4,1)</f>
        <v>45689</v>
      </c>
      <c r="AO4" s="24">
        <f t="shared" ref="AO4" si="2">EDATE(AN4,1)</f>
        <v>45717</v>
      </c>
      <c r="AP4" s="24">
        <f t="shared" ref="AP4" si="3">EDATE(AO4,1)</f>
        <v>45748</v>
      </c>
      <c r="AQ4" s="24">
        <f t="shared" ref="AQ4" si="4">EDATE(AP4,1)</f>
        <v>45778</v>
      </c>
      <c r="AR4" s="24">
        <f t="shared" ref="AR4" si="5">EDATE(AQ4,1)</f>
        <v>45809</v>
      </c>
      <c r="AS4" s="24">
        <f t="shared" ref="AS4" si="6">EDATE(AR4,1)</f>
        <v>45839</v>
      </c>
      <c r="AT4" s="24">
        <f t="shared" ref="AT4" si="7">EDATE(AS4,1)</f>
        <v>45870</v>
      </c>
      <c r="AU4" s="24">
        <f t="shared" ref="AU4" si="8">EDATE(AT4,1)</f>
        <v>45901</v>
      </c>
      <c r="AV4" s="24">
        <f t="shared" ref="AV4" si="9">EDATE(AU4,1)</f>
        <v>45931</v>
      </c>
      <c r="AW4" s="24">
        <f t="shared" ref="AW4" si="10">EDATE(AV4,1)</f>
        <v>45962</v>
      </c>
      <c r="AX4" s="24">
        <f t="shared" ref="AX4" si="11">EDATE(AW4,1)</f>
        <v>45992</v>
      </c>
      <c r="AY4" s="24">
        <f t="shared" ref="AY4" si="12">EDATE(AX4,1)</f>
        <v>46023</v>
      </c>
      <c r="AZ4" s="24">
        <f t="shared" ref="AZ4" si="13">EDATE(AY4,1)</f>
        <v>46054</v>
      </c>
      <c r="BA4" s="24">
        <f t="shared" ref="BA4" si="14">EDATE(AZ4,1)</f>
        <v>46082</v>
      </c>
      <c r="BB4" s="24">
        <f t="shared" ref="BB4" si="15">EDATE(BA4,1)</f>
        <v>46113</v>
      </c>
      <c r="BC4" s="24">
        <f t="shared" ref="BC4" si="16">EDATE(BB4,1)</f>
        <v>46143</v>
      </c>
      <c r="BD4" s="24">
        <f t="shared" ref="BD4" si="17">EDATE(BC4,1)</f>
        <v>46174</v>
      </c>
      <c r="BE4" s="24">
        <f t="shared" ref="BE4" si="18">EDATE(BD4,1)</f>
        <v>46204</v>
      </c>
      <c r="BF4" s="24">
        <f t="shared" ref="BF4" si="19">EDATE(BE4,1)</f>
        <v>46235</v>
      </c>
      <c r="BG4" s="24">
        <f t="shared" ref="BG4" si="20">EDATE(BF4,1)</f>
        <v>46266</v>
      </c>
      <c r="BH4" s="24">
        <f t="shared" ref="BH4" si="21">EDATE(BG4,1)</f>
        <v>46296</v>
      </c>
      <c r="BI4" s="24">
        <f t="shared" ref="BI4" si="22">EDATE(BH4,1)</f>
        <v>46327</v>
      </c>
      <c r="BJ4" s="24">
        <f t="shared" ref="BJ4" si="23">EDATE(BI4,1)</f>
        <v>46357</v>
      </c>
    </row>
    <row r="5" spans="1:62" s="16" customFormat="1" ht="13" hidden="1">
      <c r="A5" s="20"/>
      <c r="B5" s="104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</row>
    <row r="6" spans="1:62" s="16" customFormat="1" ht="13">
      <c r="A6" s="249" t="s">
        <v>307</v>
      </c>
      <c r="B6" s="104">
        <f>SUM(C6:BJ6)</f>
        <v>31347221.524799492</v>
      </c>
      <c r="C6" s="100">
        <f t="shared" ref="C6:D12" si="24">$G30*$H30*C$21*C$22</f>
        <v>889676.22</v>
      </c>
      <c r="D6" s="100">
        <f t="shared" si="24"/>
        <v>668925.30791249999</v>
      </c>
      <c r="E6" s="100">
        <f t="shared" ref="E6:AM13" si="25">$G30*$H30*E$21*E$22</f>
        <v>447065.08078818751</v>
      </c>
      <c r="F6" s="100">
        <f t="shared" si="25"/>
        <v>358546.19479212636</v>
      </c>
      <c r="G6" s="100">
        <f t="shared" si="25"/>
        <v>449303.20034888329</v>
      </c>
      <c r="H6" s="100">
        <f t="shared" si="25"/>
        <v>450426.4583497555</v>
      </c>
      <c r="I6" s="100">
        <f t="shared" si="25"/>
        <v>451552.52449562988</v>
      </c>
      <c r="J6" s="100">
        <f t="shared" si="25"/>
        <v>452681.40580686898</v>
      </c>
      <c r="K6" s="100">
        <f t="shared" si="25"/>
        <v>363050.48745710892</v>
      </c>
      <c r="L6" s="100">
        <f t="shared" si="25"/>
        <v>454947.64209468948</v>
      </c>
      <c r="M6" s="100">
        <f t="shared" si="25"/>
        <v>456085.0111999262</v>
      </c>
      <c r="N6" s="100">
        <f t="shared" si="25"/>
        <v>457225.22372792603</v>
      </c>
      <c r="O6" s="100">
        <f>$G30*$H30*O$21*O$22</f>
        <v>916736.57357449154</v>
      </c>
      <c r="P6" s="100">
        <f t="shared" si="25"/>
        <v>689271.3112563208</v>
      </c>
      <c r="Q6" s="100">
        <f t="shared" si="25"/>
        <v>460662.99302297435</v>
      </c>
      <c r="R6" s="100">
        <f t="shared" si="25"/>
        <v>369451.72040442546</v>
      </c>
      <c r="S6" s="100">
        <f t="shared" si="25"/>
        <v>462969.18713179557</v>
      </c>
      <c r="T6" s="100">
        <f t="shared" si="25"/>
        <v>464126.61009962502</v>
      </c>
      <c r="U6" s="100">
        <f t="shared" si="25"/>
        <v>465286.926624874</v>
      </c>
      <c r="V6" s="100">
        <f t="shared" si="25"/>
        <v>466450.1439414362</v>
      </c>
      <c r="W6" s="100">
        <f t="shared" si="25"/>
        <v>374093.01544103184</v>
      </c>
      <c r="X6" s="100">
        <f t="shared" si="25"/>
        <v>468785.30997454294</v>
      </c>
      <c r="Y6" s="100">
        <f t="shared" si="25"/>
        <v>469957.2732494793</v>
      </c>
      <c r="Z6" s="100">
        <f t="shared" si="25"/>
        <v>471132.16643260297</v>
      </c>
      <c r="AA6" s="100">
        <f t="shared" si="25"/>
        <v>944619.99369736889</v>
      </c>
      <c r="AB6" s="100">
        <f t="shared" si="25"/>
        <v>710236.1577612093</v>
      </c>
      <c r="AC6" s="100">
        <f t="shared" si="25"/>
        <v>474674.49877040816</v>
      </c>
      <c r="AD6" s="100">
        <f t="shared" si="25"/>
        <v>380688.94801386731</v>
      </c>
      <c r="AE6" s="100">
        <f t="shared" si="25"/>
        <v>477050.83797987748</v>
      </c>
      <c r="AF6" s="100">
        <f t="shared" si="25"/>
        <v>478243.4650748272</v>
      </c>
      <c r="AG6" s="100">
        <f t="shared" si="25"/>
        <v>479439.07373751426</v>
      </c>
      <c r="AH6" s="100">
        <f t="shared" si="25"/>
        <v>480637.67142185807</v>
      </c>
      <c r="AI6" s="100">
        <f t="shared" si="25"/>
        <v>385471.41248033015</v>
      </c>
      <c r="AJ6" s="100">
        <f t="shared" si="25"/>
        <v>483043.86376441369</v>
      </c>
      <c r="AK6" s="100">
        <f t="shared" si="25"/>
        <v>484251.4734238247</v>
      </c>
      <c r="AL6" s="100">
        <f t="shared" si="25"/>
        <v>485462.10210738424</v>
      </c>
      <c r="AM6" s="100">
        <f t="shared" si="25"/>
        <v>973351.51472530526</v>
      </c>
      <c r="AN6" s="100">
        <f t="shared" ref="AN6:BJ6" si="26">$G30*$H30*AN$21*AN$22</f>
        <v>731838.67013408872</v>
      </c>
      <c r="AO6" s="100">
        <f t="shared" si="26"/>
        <v>489112.17787294928</v>
      </c>
      <c r="AP6" s="100">
        <f t="shared" si="26"/>
        <v>392267.96665410529</v>
      </c>
      <c r="AQ6" s="100">
        <f t="shared" si="26"/>
        <v>491560.79571342561</v>
      </c>
      <c r="AR6" s="100">
        <f t="shared" si="26"/>
        <v>492789.69770270918</v>
      </c>
      <c r="AS6" s="100">
        <f t="shared" si="26"/>
        <v>494021.67194696586</v>
      </c>
      <c r="AT6" s="100">
        <f t="shared" si="26"/>
        <v>495256.72612683329</v>
      </c>
      <c r="AU6" s="100">
        <f t="shared" si="26"/>
        <v>397195.8943537203</v>
      </c>
      <c r="AV6" s="100">
        <f t="shared" si="26"/>
        <v>497736.10511200567</v>
      </c>
      <c r="AW6" s="100">
        <f t="shared" si="26"/>
        <v>498980.44537478569</v>
      </c>
      <c r="AX6" s="100">
        <f t="shared" si="26"/>
        <v>500227.89648822264</v>
      </c>
      <c r="AY6" s="100">
        <f t="shared" si="26"/>
        <v>1002956.9324588862</v>
      </c>
      <c r="AZ6" s="100">
        <f t="shared" si="26"/>
        <v>754098.2435925249</v>
      </c>
      <c r="BA6" s="100">
        <f t="shared" si="26"/>
        <v>503988.99280100415</v>
      </c>
      <c r="BB6" s="100">
        <f t="shared" si="26"/>
        <v>404199.1722264053</v>
      </c>
      <c r="BC6" s="100">
        <f t="shared" si="26"/>
        <v>506512.08769621415</v>
      </c>
      <c r="BD6" s="100">
        <f t="shared" si="26"/>
        <v>507778.36791545467</v>
      </c>
      <c r="BE6" s="100">
        <f t="shared" si="26"/>
        <v>509047.81383524329</v>
      </c>
      <c r="BF6" s="100">
        <f t="shared" si="26"/>
        <v>510320.43336983141</v>
      </c>
      <c r="BG6" s="100">
        <f t="shared" si="26"/>
        <v>409276.98756260477</v>
      </c>
      <c r="BH6" s="100">
        <f t="shared" si="26"/>
        <v>512875.22503938904</v>
      </c>
      <c r="BI6" s="100">
        <f t="shared" si="26"/>
        <v>514157.41310198756</v>
      </c>
      <c r="BJ6" s="100">
        <f t="shared" si="26"/>
        <v>515442.80663474248</v>
      </c>
    </row>
    <row r="7" spans="1:62" s="16" customFormat="1" ht="13">
      <c r="A7" s="249" t="s">
        <v>308</v>
      </c>
      <c r="B7" s="104">
        <f t="shared" ref="B7:B16" si="27">SUM(C7:BJ7)</f>
        <v>8719672.1904866435</v>
      </c>
      <c r="C7" s="100">
        <f t="shared" si="24"/>
        <v>247476</v>
      </c>
      <c r="D7" s="100">
        <f t="shared" si="24"/>
        <v>186071.01750000002</v>
      </c>
      <c r="E7" s="100">
        <f t="shared" ref="E7:N7" si="28">$G31*$H31*E$21*E$22</f>
        <v>124357.46336250001</v>
      </c>
      <c r="F7" s="100">
        <f t="shared" si="28"/>
        <v>99734.685616725008</v>
      </c>
      <c r="G7" s="100">
        <f t="shared" si="28"/>
        <v>124980.0279134585</v>
      </c>
      <c r="H7" s="100">
        <f t="shared" si="28"/>
        <v>125292.47798324215</v>
      </c>
      <c r="I7" s="100">
        <f t="shared" si="28"/>
        <v>125605.70917820025</v>
      </c>
      <c r="J7" s="100">
        <f t="shared" si="28"/>
        <v>125919.72345114575</v>
      </c>
      <c r="K7" s="100">
        <f t="shared" si="28"/>
        <v>100987.61820781889</v>
      </c>
      <c r="L7" s="100">
        <f t="shared" si="28"/>
        <v>126550.10906667302</v>
      </c>
      <c r="M7" s="100">
        <f t="shared" si="28"/>
        <v>126866.4843393397</v>
      </c>
      <c r="N7" s="100">
        <f t="shared" si="28"/>
        <v>127183.65055018805</v>
      </c>
      <c r="O7" s="100">
        <f>$G31*$H31*O$21*O$22</f>
        <v>255003.219353127</v>
      </c>
      <c r="P7" s="100">
        <f>$G31*$H31*P$21*P$22</f>
        <v>191730.54555113235</v>
      </c>
      <c r="Q7" s="100">
        <f>$G31*$H31*Q$21*Q$22</f>
        <v>128139.91461000677</v>
      </c>
      <c r="R7" s="100">
        <f>$G31*$H31*R$21*R$22</f>
        <v>102768.21151722544</v>
      </c>
      <c r="S7" s="100">
        <f>$G31*$H31*S$21*S$22</f>
        <v>128781.4150575231</v>
      </c>
      <c r="T7" s="100">
        <f t="shared" si="25"/>
        <v>129103.3685951669</v>
      </c>
      <c r="U7" s="100">
        <f t="shared" si="25"/>
        <v>129426.12701665481</v>
      </c>
      <c r="V7" s="100">
        <f t="shared" si="25"/>
        <v>129749.69233419643</v>
      </c>
      <c r="W7" s="100">
        <f t="shared" si="25"/>
        <v>104059.25325202555</v>
      </c>
      <c r="X7" s="100">
        <f t="shared" si="25"/>
        <v>130399.25173144448</v>
      </c>
      <c r="Y7" s="100">
        <f t="shared" si="25"/>
        <v>130725.24986077311</v>
      </c>
      <c r="Z7" s="100">
        <f t="shared" si="25"/>
        <v>131052.06298542503</v>
      </c>
      <c r="AA7" s="100">
        <f t="shared" si="25"/>
        <v>262759.38628577715</v>
      </c>
      <c r="AB7" s="100">
        <f t="shared" si="25"/>
        <v>197562.21356361872</v>
      </c>
      <c r="AC7" s="100">
        <f t="shared" si="25"/>
        <v>132037.41273168515</v>
      </c>
      <c r="AD7" s="100">
        <f t="shared" si="25"/>
        <v>105894.0050108115</v>
      </c>
      <c r="AE7" s="100">
        <f t="shared" si="25"/>
        <v>132698.42502917314</v>
      </c>
      <c r="AF7" s="100">
        <f t="shared" si="25"/>
        <v>133030.17109174607</v>
      </c>
      <c r="AG7" s="100">
        <f t="shared" si="25"/>
        <v>133362.74651947545</v>
      </c>
      <c r="AH7" s="100">
        <f t="shared" si="25"/>
        <v>133696.15338577415</v>
      </c>
      <c r="AI7" s="100">
        <f t="shared" si="25"/>
        <v>107224.31501539086</v>
      </c>
      <c r="AJ7" s="100">
        <f t="shared" si="25"/>
        <v>134365.46975366166</v>
      </c>
      <c r="AK7" s="100">
        <f t="shared" si="25"/>
        <v>134701.38342804581</v>
      </c>
      <c r="AL7" s="100">
        <f t="shared" si="25"/>
        <v>135038.13688661592</v>
      </c>
      <c r="AM7" s="100">
        <f t="shared" ref="AM7:BJ12" si="29">$G31*$H31*AM$21*AM$22</f>
        <v>270751.46445766487</v>
      </c>
      <c r="AN7" s="100">
        <f t="shared" si="29"/>
        <v>203571.25733910676</v>
      </c>
      <c r="AO7" s="100">
        <f t="shared" si="29"/>
        <v>136053.45698830299</v>
      </c>
      <c r="AP7" s="100">
        <f t="shared" si="29"/>
        <v>109114.87250461901</v>
      </c>
      <c r="AQ7" s="100">
        <f t="shared" si="29"/>
        <v>136734.57460735066</v>
      </c>
      <c r="AR7" s="100">
        <f t="shared" si="29"/>
        <v>137076.41104386904</v>
      </c>
      <c r="AS7" s="100">
        <f t="shared" si="29"/>
        <v>137419.10207147867</v>
      </c>
      <c r="AT7" s="100">
        <f t="shared" si="29"/>
        <v>137762.64982665738</v>
      </c>
      <c r="AU7" s="100">
        <f t="shared" si="29"/>
        <v>110485.64516097923</v>
      </c>
      <c r="AV7" s="100">
        <f t="shared" si="29"/>
        <v>138452.32409235206</v>
      </c>
      <c r="AW7" s="100">
        <f t="shared" si="29"/>
        <v>138798.45490258295</v>
      </c>
      <c r="AX7" s="100">
        <f t="shared" si="29"/>
        <v>139145.45103983939</v>
      </c>
      <c r="AY7" s="100">
        <f t="shared" si="29"/>
        <v>278986.62933487794</v>
      </c>
      <c r="AZ7" s="100">
        <f t="shared" si="29"/>
        <v>209763.07193116134</v>
      </c>
      <c r="BA7" s="100">
        <f t="shared" si="29"/>
        <v>140191.65307399281</v>
      </c>
      <c r="BB7" s="100">
        <f t="shared" si="29"/>
        <v>112433.70576534222</v>
      </c>
      <c r="BC7" s="100">
        <f t="shared" si="29"/>
        <v>140893.48753719448</v>
      </c>
      <c r="BD7" s="100">
        <f t="shared" si="29"/>
        <v>141245.72125603748</v>
      </c>
      <c r="BE7" s="100">
        <f t="shared" si="29"/>
        <v>141598.83555917756</v>
      </c>
      <c r="BF7" s="100">
        <f t="shared" si="29"/>
        <v>141952.83264807551</v>
      </c>
      <c r="BG7" s="100">
        <f t="shared" si="29"/>
        <v>113846.17178375654</v>
      </c>
      <c r="BH7" s="100">
        <f t="shared" si="29"/>
        <v>142663.48401651991</v>
      </c>
      <c r="BI7" s="100">
        <f t="shared" si="29"/>
        <v>143020.1427265612</v>
      </c>
      <c r="BJ7" s="100">
        <f t="shared" si="29"/>
        <v>143377.69308337758</v>
      </c>
    </row>
    <row r="8" spans="1:62" s="16" customFormat="1" ht="13">
      <c r="A8" s="249" t="s">
        <v>309</v>
      </c>
      <c r="B8" s="104">
        <f t="shared" si="27"/>
        <v>567133.15060075733</v>
      </c>
      <c r="C8" s="100">
        <f t="shared" si="24"/>
        <v>16096</v>
      </c>
      <c r="D8" s="100">
        <f t="shared" si="24"/>
        <v>12102.18</v>
      </c>
      <c r="E8" s="100">
        <f t="shared" si="25"/>
        <v>8088.2903000000006</v>
      </c>
      <c r="F8" s="100">
        <f t="shared" si="25"/>
        <v>6486.8088205999993</v>
      </c>
      <c r="G8" s="100">
        <f t="shared" si="25"/>
        <v>8128.7823033143741</v>
      </c>
      <c r="H8" s="100">
        <f t="shared" si="25"/>
        <v>8149.1042590726593</v>
      </c>
      <c r="I8" s="100">
        <f t="shared" si="25"/>
        <v>8169.4770197203416</v>
      </c>
      <c r="J8" s="100">
        <f t="shared" si="25"/>
        <v>8189.9007122696421</v>
      </c>
      <c r="K8" s="100">
        <f t="shared" si="25"/>
        <v>6568.3003712402533</v>
      </c>
      <c r="L8" s="100">
        <f t="shared" si="25"/>
        <v>8230.9014027104404</v>
      </c>
      <c r="M8" s="100">
        <f t="shared" si="25"/>
        <v>8251.4786562172158</v>
      </c>
      <c r="N8" s="100">
        <f t="shared" si="25"/>
        <v>8272.1073528577599</v>
      </c>
      <c r="O8" s="100">
        <f t="shared" si="25"/>
        <v>16585.575242479805</v>
      </c>
      <c r="P8" s="100">
        <f t="shared" si="25"/>
        <v>12470.279385439502</v>
      </c>
      <c r="Q8" s="100">
        <f t="shared" si="25"/>
        <v>8334.3033892687326</v>
      </c>
      <c r="R8" s="100">
        <f t="shared" si="25"/>
        <v>6684.1113181935252</v>
      </c>
      <c r="S8" s="100">
        <f t="shared" si="25"/>
        <v>8376.0269956112588</v>
      </c>
      <c r="T8" s="100">
        <f t="shared" si="25"/>
        <v>8396.9670631002864</v>
      </c>
      <c r="U8" s="100">
        <f t="shared" si="25"/>
        <v>8417.9594807580361</v>
      </c>
      <c r="V8" s="100">
        <f t="shared" si="25"/>
        <v>8439.0043794599314</v>
      </c>
      <c r="W8" s="100">
        <f t="shared" si="25"/>
        <v>6768.0815123268658</v>
      </c>
      <c r="X8" s="100">
        <f t="shared" si="25"/>
        <v>8481.2521451346001</v>
      </c>
      <c r="Y8" s="100">
        <f t="shared" si="25"/>
        <v>8502.4552754974375</v>
      </c>
      <c r="Z8" s="100">
        <f t="shared" si="25"/>
        <v>8523.7114136861801</v>
      </c>
      <c r="AA8" s="100">
        <f t="shared" si="25"/>
        <v>17090.041384440792</v>
      </c>
      <c r="AB8" s="100">
        <f t="shared" si="25"/>
        <v>12849.574865926419</v>
      </c>
      <c r="AC8" s="100">
        <f t="shared" si="25"/>
        <v>8587.7992020608235</v>
      </c>
      <c r="AD8" s="100">
        <f t="shared" si="25"/>
        <v>6887.4149600527808</v>
      </c>
      <c r="AE8" s="100">
        <f t="shared" si="25"/>
        <v>8630.79187181614</v>
      </c>
      <c r="AF8" s="100">
        <f t="shared" si="25"/>
        <v>8652.3688514956812</v>
      </c>
      <c r="AG8" s="100">
        <f t="shared" si="25"/>
        <v>8673.9997736244204</v>
      </c>
      <c r="AH8" s="100">
        <f t="shared" si="25"/>
        <v>8695.6847730584814</v>
      </c>
      <c r="AI8" s="100">
        <f t="shared" si="25"/>
        <v>6973.9391879929017</v>
      </c>
      <c r="AJ8" s="100">
        <f t="shared" si="25"/>
        <v>8739.2175449536044</v>
      </c>
      <c r="AK8" s="100">
        <f t="shared" si="25"/>
        <v>8761.065588815989</v>
      </c>
      <c r="AL8" s="100">
        <f t="shared" si="25"/>
        <v>8782.9682527880268</v>
      </c>
      <c r="AM8" s="100">
        <f t="shared" si="29"/>
        <v>17609.851346839991</v>
      </c>
      <c r="AN8" s="100">
        <f t="shared" si="29"/>
        <v>13240.406981405318</v>
      </c>
      <c r="AO8" s="100">
        <f t="shared" si="29"/>
        <v>8849.005332572553</v>
      </c>
      <c r="AP8" s="100">
        <f t="shared" si="29"/>
        <v>7096.9022767231863</v>
      </c>
      <c r="AQ8" s="100">
        <f t="shared" si="29"/>
        <v>8893.3056655187429</v>
      </c>
      <c r="AR8" s="100">
        <f t="shared" si="29"/>
        <v>8915.5389296825379</v>
      </c>
      <c r="AS8" s="100">
        <f t="shared" si="29"/>
        <v>8937.8277770067434</v>
      </c>
      <c r="AT8" s="100">
        <f t="shared" si="29"/>
        <v>8960.1723464492607</v>
      </c>
      <c r="AU8" s="100">
        <f t="shared" si="29"/>
        <v>7186.0582218523068</v>
      </c>
      <c r="AV8" s="100">
        <f t="shared" si="29"/>
        <v>9005.0292092586715</v>
      </c>
      <c r="AW8" s="100">
        <f t="shared" si="29"/>
        <v>9027.5417822818181</v>
      </c>
      <c r="AX8" s="100">
        <f t="shared" si="29"/>
        <v>9050.1106367375214</v>
      </c>
      <c r="AY8" s="100">
        <f t="shared" si="29"/>
        <v>18145.471826658726</v>
      </c>
      <c r="AZ8" s="100">
        <f t="shared" si="29"/>
        <v>13643.12662966903</v>
      </c>
      <c r="BA8" s="100">
        <f t="shared" si="29"/>
        <v>9118.1562974954668</v>
      </c>
      <c r="BB8" s="100">
        <f t="shared" si="29"/>
        <v>7312.761350591365</v>
      </c>
      <c r="BC8" s="100">
        <f t="shared" si="29"/>
        <v>9163.8040674598033</v>
      </c>
      <c r="BD8" s="100">
        <f t="shared" si="29"/>
        <v>9186.7135776284522</v>
      </c>
      <c r="BE8" s="100">
        <f t="shared" si="29"/>
        <v>9209.6803615725239</v>
      </c>
      <c r="BF8" s="100">
        <f t="shared" si="29"/>
        <v>9232.7045624764542</v>
      </c>
      <c r="BG8" s="100">
        <f t="shared" si="29"/>
        <v>7404.6290591061161</v>
      </c>
      <c r="BH8" s="100">
        <f t="shared" si="29"/>
        <v>9278.9257896923518</v>
      </c>
      <c r="BI8" s="100">
        <f t="shared" si="29"/>
        <v>9302.1231041665833</v>
      </c>
      <c r="BJ8" s="100">
        <f t="shared" si="29"/>
        <v>9325.3784119269985</v>
      </c>
    </row>
    <row r="9" spans="1:62" s="16" customFormat="1" ht="13">
      <c r="A9" s="366" t="s">
        <v>310</v>
      </c>
      <c r="B9" s="104">
        <f t="shared" si="27"/>
        <v>638024.7944258519</v>
      </c>
      <c r="C9" s="100">
        <f t="shared" si="24"/>
        <v>18108</v>
      </c>
      <c r="D9" s="100">
        <f t="shared" si="24"/>
        <v>13614.952499999999</v>
      </c>
      <c r="E9" s="100">
        <f t="shared" si="25"/>
        <v>9099.3265875000016</v>
      </c>
      <c r="F9" s="100">
        <f t="shared" si="25"/>
        <v>7297.6599231749997</v>
      </c>
      <c r="G9" s="100">
        <f t="shared" si="25"/>
        <v>9144.8800912286697</v>
      </c>
      <c r="H9" s="100">
        <f t="shared" si="25"/>
        <v>9167.7422914567414</v>
      </c>
      <c r="I9" s="100">
        <f t="shared" si="25"/>
        <v>9190.6616471853849</v>
      </c>
      <c r="J9" s="100">
        <f t="shared" si="25"/>
        <v>9213.6383013033483</v>
      </c>
      <c r="K9" s="100">
        <f t="shared" si="25"/>
        <v>7389.3379176452845</v>
      </c>
      <c r="L9" s="100">
        <f t="shared" si="25"/>
        <v>9259.7640780492457</v>
      </c>
      <c r="M9" s="100">
        <f t="shared" si="25"/>
        <v>9282.9134882443686</v>
      </c>
      <c r="N9" s="100">
        <f t="shared" si="25"/>
        <v>9306.1207719649792</v>
      </c>
      <c r="O9" s="100">
        <f t="shared" si="25"/>
        <v>18658.772147789779</v>
      </c>
      <c r="P9" s="100">
        <f t="shared" si="25"/>
        <v>14029.06430861944</v>
      </c>
      <c r="Q9" s="100">
        <f t="shared" si="25"/>
        <v>9376.0913129273249</v>
      </c>
      <c r="R9" s="100">
        <f t="shared" si="25"/>
        <v>7519.6252329677154</v>
      </c>
      <c r="S9" s="100">
        <f t="shared" si="25"/>
        <v>9423.0303700626664</v>
      </c>
      <c r="T9" s="100">
        <f t="shared" si="25"/>
        <v>9446.5879459878215</v>
      </c>
      <c r="U9" s="100">
        <f t="shared" si="25"/>
        <v>9470.2044158527897</v>
      </c>
      <c r="V9" s="100">
        <f t="shared" si="25"/>
        <v>9493.8799268924213</v>
      </c>
      <c r="W9" s="100">
        <f t="shared" si="25"/>
        <v>7614.0917013677235</v>
      </c>
      <c r="X9" s="100">
        <f t="shared" si="25"/>
        <v>9541.4086632764265</v>
      </c>
      <c r="Y9" s="100">
        <f t="shared" si="25"/>
        <v>9565.2621849346178</v>
      </c>
      <c r="Z9" s="100">
        <f t="shared" si="25"/>
        <v>9589.1753403969542</v>
      </c>
      <c r="AA9" s="100">
        <f t="shared" si="25"/>
        <v>19226.296557495891</v>
      </c>
      <c r="AB9" s="100">
        <f t="shared" si="25"/>
        <v>14455.771724167224</v>
      </c>
      <c r="AC9" s="100">
        <f t="shared" si="25"/>
        <v>9661.2741023184262</v>
      </c>
      <c r="AD9" s="100">
        <f t="shared" si="25"/>
        <v>7748.3418300593785</v>
      </c>
      <c r="AE9" s="100">
        <f t="shared" si="25"/>
        <v>9709.6408557931572</v>
      </c>
      <c r="AF9" s="100">
        <f t="shared" si="25"/>
        <v>9733.9149579326404</v>
      </c>
      <c r="AG9" s="100">
        <f t="shared" si="25"/>
        <v>9758.2497453274718</v>
      </c>
      <c r="AH9" s="100">
        <f t="shared" si="25"/>
        <v>9782.645369690792</v>
      </c>
      <c r="AI9" s="100">
        <f t="shared" si="25"/>
        <v>7845.6815864920154</v>
      </c>
      <c r="AJ9" s="100">
        <f t="shared" si="25"/>
        <v>9831.6197380728045</v>
      </c>
      <c r="AK9" s="100">
        <f t="shared" si="25"/>
        <v>9856.1987874179868</v>
      </c>
      <c r="AL9" s="100">
        <f t="shared" si="25"/>
        <v>9880.8392843865313</v>
      </c>
      <c r="AM9" s="100">
        <f t="shared" si="29"/>
        <v>19811.082765194991</v>
      </c>
      <c r="AN9" s="100">
        <f t="shared" si="29"/>
        <v>14895.457854080982</v>
      </c>
      <c r="AO9" s="100">
        <f t="shared" si="29"/>
        <v>9955.1309991441212</v>
      </c>
      <c r="AP9" s="100">
        <f t="shared" si="29"/>
        <v>7984.0150613135847</v>
      </c>
      <c r="AQ9" s="100">
        <f t="shared" si="29"/>
        <v>10004.968873708585</v>
      </c>
      <c r="AR9" s="100">
        <f t="shared" si="29"/>
        <v>10029.981295892856</v>
      </c>
      <c r="AS9" s="100">
        <f t="shared" si="29"/>
        <v>10055.056249132587</v>
      </c>
      <c r="AT9" s="100">
        <f t="shared" si="29"/>
        <v>10080.193889755417</v>
      </c>
      <c r="AU9" s="100">
        <f t="shared" si="29"/>
        <v>8084.3154995838449</v>
      </c>
      <c r="AV9" s="100">
        <f t="shared" si="29"/>
        <v>10130.657860416006</v>
      </c>
      <c r="AW9" s="100">
        <f t="shared" si="29"/>
        <v>10155.984505067045</v>
      </c>
      <c r="AX9" s="100">
        <f t="shared" si="29"/>
        <v>10181.374466329711</v>
      </c>
      <c r="AY9" s="100">
        <f t="shared" si="29"/>
        <v>20413.655804991067</v>
      </c>
      <c r="AZ9" s="100">
        <f t="shared" si="29"/>
        <v>15348.517458377659</v>
      </c>
      <c r="BA9" s="100">
        <f t="shared" si="29"/>
        <v>10257.925834682401</v>
      </c>
      <c r="BB9" s="100">
        <f t="shared" si="29"/>
        <v>8226.8565194152852</v>
      </c>
      <c r="BC9" s="100">
        <f t="shared" si="29"/>
        <v>10309.279575892278</v>
      </c>
      <c r="BD9" s="100">
        <f t="shared" si="29"/>
        <v>10335.052774832009</v>
      </c>
      <c r="BE9" s="100">
        <f t="shared" si="29"/>
        <v>10360.890406769089</v>
      </c>
      <c r="BF9" s="100">
        <f t="shared" si="29"/>
        <v>10386.792632786011</v>
      </c>
      <c r="BG9" s="100">
        <f t="shared" si="29"/>
        <v>8330.2076914943809</v>
      </c>
      <c r="BH9" s="100">
        <f t="shared" si="29"/>
        <v>10438.791513403896</v>
      </c>
      <c r="BI9" s="100">
        <f t="shared" si="29"/>
        <v>10464.888492187405</v>
      </c>
      <c r="BJ9" s="100">
        <f t="shared" si="29"/>
        <v>10491.050713417873</v>
      </c>
    </row>
    <row r="10" spans="1:62" s="16" customFormat="1" ht="13">
      <c r="A10" s="249" t="s">
        <v>311</v>
      </c>
      <c r="B10" s="104">
        <f t="shared" si="27"/>
        <v>708916.43825094705</v>
      </c>
      <c r="C10" s="100">
        <f t="shared" si="24"/>
        <v>20120</v>
      </c>
      <c r="D10" s="100">
        <f t="shared" si="24"/>
        <v>15127.724999999999</v>
      </c>
      <c r="E10" s="100">
        <f t="shared" si="25"/>
        <v>10110.362875000001</v>
      </c>
      <c r="F10" s="100">
        <f t="shared" si="25"/>
        <v>8108.51102575</v>
      </c>
      <c r="G10" s="100">
        <f t="shared" si="25"/>
        <v>10160.977879142967</v>
      </c>
      <c r="H10" s="100">
        <f t="shared" si="25"/>
        <v>10186.380323840825</v>
      </c>
      <c r="I10" s="100">
        <f t="shared" si="25"/>
        <v>10211.846274650426</v>
      </c>
      <c r="J10" s="100">
        <f t="shared" si="25"/>
        <v>10237.375890337053</v>
      </c>
      <c r="K10" s="100">
        <f t="shared" si="25"/>
        <v>8210.3754640503157</v>
      </c>
      <c r="L10" s="100">
        <f t="shared" si="25"/>
        <v>10288.626753388051</v>
      </c>
      <c r="M10" s="100">
        <f t="shared" si="25"/>
        <v>10314.34832027152</v>
      </c>
      <c r="N10" s="100">
        <f t="shared" si="25"/>
        <v>10340.134191072199</v>
      </c>
      <c r="O10" s="100">
        <f t="shared" si="25"/>
        <v>20731.969053099758</v>
      </c>
      <c r="P10" s="100">
        <f t="shared" si="25"/>
        <v>15587.849231799379</v>
      </c>
      <c r="Q10" s="100">
        <f t="shared" si="25"/>
        <v>10417.879236585917</v>
      </c>
      <c r="R10" s="100">
        <f t="shared" si="25"/>
        <v>8355.1391477419056</v>
      </c>
      <c r="S10" s="100">
        <f t="shared" si="25"/>
        <v>10470.033744514074</v>
      </c>
      <c r="T10" s="100">
        <f t="shared" si="25"/>
        <v>10496.208828875357</v>
      </c>
      <c r="U10" s="100">
        <f t="shared" si="25"/>
        <v>10522.449350947545</v>
      </c>
      <c r="V10" s="100">
        <f t="shared" si="25"/>
        <v>10548.755474324913</v>
      </c>
      <c r="W10" s="100">
        <f t="shared" si="25"/>
        <v>8460.1018904085813</v>
      </c>
      <c r="X10" s="100">
        <f t="shared" si="25"/>
        <v>10601.565181418251</v>
      </c>
      <c r="Y10" s="100">
        <f t="shared" si="25"/>
        <v>10628.069094371796</v>
      </c>
      <c r="Z10" s="100">
        <f t="shared" si="25"/>
        <v>10654.639267107726</v>
      </c>
      <c r="AA10" s="100">
        <f t="shared" si="25"/>
        <v>21362.551730550989</v>
      </c>
      <c r="AB10" s="100">
        <f t="shared" si="25"/>
        <v>16061.968582408026</v>
      </c>
      <c r="AC10" s="100">
        <f t="shared" si="25"/>
        <v>10734.749002576029</v>
      </c>
      <c r="AD10" s="100">
        <f t="shared" si="25"/>
        <v>8609.2687000659753</v>
      </c>
      <c r="AE10" s="100">
        <f t="shared" si="25"/>
        <v>10788.489839770175</v>
      </c>
      <c r="AF10" s="100">
        <f t="shared" si="25"/>
        <v>10815.4610643696</v>
      </c>
      <c r="AG10" s="100">
        <f t="shared" si="25"/>
        <v>10842.499717030525</v>
      </c>
      <c r="AH10" s="100">
        <f t="shared" si="25"/>
        <v>10869.605966323101</v>
      </c>
      <c r="AI10" s="100">
        <f t="shared" si="25"/>
        <v>8717.4239849911282</v>
      </c>
      <c r="AJ10" s="100">
        <f t="shared" si="25"/>
        <v>10924.021931192005</v>
      </c>
      <c r="AK10" s="100">
        <f t="shared" si="25"/>
        <v>10951.331986019984</v>
      </c>
      <c r="AL10" s="100">
        <f t="shared" si="25"/>
        <v>10978.710315985034</v>
      </c>
      <c r="AM10" s="100">
        <f t="shared" si="29"/>
        <v>22012.314183549992</v>
      </c>
      <c r="AN10" s="100">
        <f t="shared" si="29"/>
        <v>16550.508726756649</v>
      </c>
      <c r="AO10" s="100">
        <f t="shared" si="29"/>
        <v>11061.256665715691</v>
      </c>
      <c r="AP10" s="100">
        <f t="shared" si="29"/>
        <v>8871.1278459039822</v>
      </c>
      <c r="AQ10" s="100">
        <f t="shared" si="29"/>
        <v>11116.632081898428</v>
      </c>
      <c r="AR10" s="100">
        <f t="shared" si="29"/>
        <v>11144.423662103174</v>
      </c>
      <c r="AS10" s="100">
        <f t="shared" si="29"/>
        <v>11172.284721258429</v>
      </c>
      <c r="AT10" s="100">
        <f t="shared" si="29"/>
        <v>11200.215433061576</v>
      </c>
      <c r="AU10" s="100">
        <f t="shared" si="29"/>
        <v>8982.5727773153831</v>
      </c>
      <c r="AV10" s="100">
        <f t="shared" si="29"/>
        <v>11256.286511573338</v>
      </c>
      <c r="AW10" s="100">
        <f t="shared" si="29"/>
        <v>11284.427227852271</v>
      </c>
      <c r="AX10" s="100">
        <f t="shared" si="29"/>
        <v>11312.638295921903</v>
      </c>
      <c r="AY10" s="100">
        <f t="shared" si="29"/>
        <v>22681.839783323408</v>
      </c>
      <c r="AZ10" s="100">
        <f t="shared" si="29"/>
        <v>17053.908287086284</v>
      </c>
      <c r="BA10" s="100">
        <f t="shared" si="29"/>
        <v>11397.695371869335</v>
      </c>
      <c r="BB10" s="100">
        <f t="shared" si="29"/>
        <v>9140.9516882392054</v>
      </c>
      <c r="BC10" s="100">
        <f t="shared" si="29"/>
        <v>11454.755084324755</v>
      </c>
      <c r="BD10" s="100">
        <f t="shared" si="29"/>
        <v>11483.391972035566</v>
      </c>
      <c r="BE10" s="100">
        <f t="shared" si="29"/>
        <v>11512.100451965654</v>
      </c>
      <c r="BF10" s="100">
        <f t="shared" si="29"/>
        <v>11540.880703095569</v>
      </c>
      <c r="BG10" s="100">
        <f t="shared" si="29"/>
        <v>9255.7863238826449</v>
      </c>
      <c r="BH10" s="100">
        <f t="shared" si="29"/>
        <v>11598.65723711544</v>
      </c>
      <c r="BI10" s="100">
        <f t="shared" si="29"/>
        <v>11627.653880208229</v>
      </c>
      <c r="BJ10" s="100">
        <f t="shared" si="29"/>
        <v>11656.723014908748</v>
      </c>
    </row>
    <row r="11" spans="1:62" s="16" customFormat="1" ht="13">
      <c r="A11" s="249" t="s">
        <v>312</v>
      </c>
      <c r="B11" s="104">
        <f t="shared" si="27"/>
        <v>708916.43825094705</v>
      </c>
      <c r="C11" s="100">
        <f t="shared" si="24"/>
        <v>20120</v>
      </c>
      <c r="D11" s="100">
        <f t="shared" si="24"/>
        <v>15127.724999999999</v>
      </c>
      <c r="E11" s="100">
        <f t="shared" si="25"/>
        <v>10110.362875000001</v>
      </c>
      <c r="F11" s="100">
        <f t="shared" si="25"/>
        <v>8108.51102575</v>
      </c>
      <c r="G11" s="100">
        <f t="shared" si="25"/>
        <v>10160.977879142967</v>
      </c>
      <c r="H11" s="100">
        <f t="shared" si="25"/>
        <v>10186.380323840825</v>
      </c>
      <c r="I11" s="100">
        <f t="shared" si="25"/>
        <v>10211.846274650426</v>
      </c>
      <c r="J11" s="100">
        <f t="shared" si="25"/>
        <v>10237.375890337053</v>
      </c>
      <c r="K11" s="100">
        <f t="shared" si="25"/>
        <v>8210.3754640503157</v>
      </c>
      <c r="L11" s="100">
        <f t="shared" si="25"/>
        <v>10288.626753388051</v>
      </c>
      <c r="M11" s="100">
        <f t="shared" si="25"/>
        <v>10314.34832027152</v>
      </c>
      <c r="N11" s="100">
        <f t="shared" si="25"/>
        <v>10340.134191072199</v>
      </c>
      <c r="O11" s="100">
        <f t="shared" si="25"/>
        <v>20731.969053099758</v>
      </c>
      <c r="P11" s="100">
        <f t="shared" si="25"/>
        <v>15587.849231799379</v>
      </c>
      <c r="Q11" s="100">
        <f t="shared" si="25"/>
        <v>10417.879236585917</v>
      </c>
      <c r="R11" s="100">
        <f t="shared" si="25"/>
        <v>8355.1391477419056</v>
      </c>
      <c r="S11" s="100">
        <f t="shared" si="25"/>
        <v>10470.033744514074</v>
      </c>
      <c r="T11" s="100">
        <f t="shared" si="25"/>
        <v>10496.208828875357</v>
      </c>
      <c r="U11" s="100">
        <f t="shared" si="25"/>
        <v>10522.449350947545</v>
      </c>
      <c r="V11" s="100">
        <f t="shared" si="25"/>
        <v>10548.755474324913</v>
      </c>
      <c r="W11" s="100">
        <f t="shared" si="25"/>
        <v>8460.1018904085813</v>
      </c>
      <c r="X11" s="100">
        <f t="shared" si="25"/>
        <v>10601.565181418251</v>
      </c>
      <c r="Y11" s="100">
        <f t="shared" si="25"/>
        <v>10628.069094371796</v>
      </c>
      <c r="Z11" s="100">
        <f t="shared" si="25"/>
        <v>10654.639267107726</v>
      </c>
      <c r="AA11" s="100">
        <f t="shared" si="25"/>
        <v>21362.551730550989</v>
      </c>
      <c r="AB11" s="100">
        <f t="shared" si="25"/>
        <v>16061.968582408026</v>
      </c>
      <c r="AC11" s="100">
        <f t="shared" si="25"/>
        <v>10734.749002576029</v>
      </c>
      <c r="AD11" s="100">
        <f t="shared" si="25"/>
        <v>8609.2687000659753</v>
      </c>
      <c r="AE11" s="100">
        <f t="shared" si="25"/>
        <v>10788.489839770175</v>
      </c>
      <c r="AF11" s="100">
        <f t="shared" si="25"/>
        <v>10815.4610643696</v>
      </c>
      <c r="AG11" s="100">
        <f t="shared" si="25"/>
        <v>10842.499717030525</v>
      </c>
      <c r="AH11" s="100">
        <f t="shared" si="25"/>
        <v>10869.605966323101</v>
      </c>
      <c r="AI11" s="100">
        <f t="shared" si="25"/>
        <v>8717.4239849911282</v>
      </c>
      <c r="AJ11" s="100">
        <f t="shared" si="25"/>
        <v>10924.021931192005</v>
      </c>
      <c r="AK11" s="100">
        <f t="shared" si="25"/>
        <v>10951.331986019984</v>
      </c>
      <c r="AL11" s="100">
        <f t="shared" si="25"/>
        <v>10978.710315985034</v>
      </c>
      <c r="AM11" s="100">
        <f t="shared" si="29"/>
        <v>22012.314183549992</v>
      </c>
      <c r="AN11" s="100">
        <f t="shared" si="29"/>
        <v>16550.508726756649</v>
      </c>
      <c r="AO11" s="100">
        <f t="shared" si="29"/>
        <v>11061.256665715691</v>
      </c>
      <c r="AP11" s="100">
        <f t="shared" si="29"/>
        <v>8871.1278459039822</v>
      </c>
      <c r="AQ11" s="100">
        <f t="shared" si="29"/>
        <v>11116.632081898428</v>
      </c>
      <c r="AR11" s="100">
        <f t="shared" si="29"/>
        <v>11144.423662103174</v>
      </c>
      <c r="AS11" s="100">
        <f t="shared" si="29"/>
        <v>11172.284721258429</v>
      </c>
      <c r="AT11" s="100">
        <f t="shared" si="29"/>
        <v>11200.215433061576</v>
      </c>
      <c r="AU11" s="100">
        <f t="shared" si="29"/>
        <v>8982.5727773153831</v>
      </c>
      <c r="AV11" s="100">
        <f t="shared" si="29"/>
        <v>11256.286511573338</v>
      </c>
      <c r="AW11" s="100">
        <f t="shared" si="29"/>
        <v>11284.427227852271</v>
      </c>
      <c r="AX11" s="100">
        <f t="shared" si="29"/>
        <v>11312.638295921903</v>
      </c>
      <c r="AY11" s="100">
        <f t="shared" si="29"/>
        <v>22681.839783323408</v>
      </c>
      <c r="AZ11" s="100">
        <f t="shared" si="29"/>
        <v>17053.908287086284</v>
      </c>
      <c r="BA11" s="100">
        <f t="shared" si="29"/>
        <v>11397.695371869335</v>
      </c>
      <c r="BB11" s="100">
        <f t="shared" si="29"/>
        <v>9140.9516882392054</v>
      </c>
      <c r="BC11" s="100">
        <f t="shared" si="29"/>
        <v>11454.755084324755</v>
      </c>
      <c r="BD11" s="100">
        <f t="shared" si="29"/>
        <v>11483.391972035566</v>
      </c>
      <c r="BE11" s="100">
        <f t="shared" si="29"/>
        <v>11512.100451965654</v>
      </c>
      <c r="BF11" s="100">
        <f t="shared" si="29"/>
        <v>11540.880703095569</v>
      </c>
      <c r="BG11" s="100">
        <f t="shared" si="29"/>
        <v>9255.7863238826449</v>
      </c>
      <c r="BH11" s="100">
        <f t="shared" si="29"/>
        <v>11598.65723711544</v>
      </c>
      <c r="BI11" s="100">
        <f t="shared" si="29"/>
        <v>11627.653880208229</v>
      </c>
      <c r="BJ11" s="100">
        <f t="shared" si="29"/>
        <v>11656.723014908748</v>
      </c>
    </row>
    <row r="12" spans="1:62" s="16" customFormat="1" ht="13">
      <c r="A12" s="249" t="s">
        <v>313</v>
      </c>
      <c r="B12" s="104">
        <f t="shared" si="27"/>
        <v>372181.13008174713</v>
      </c>
      <c r="C12" s="100">
        <f t="shared" si="24"/>
        <v>10563</v>
      </c>
      <c r="D12" s="100">
        <f t="shared" si="24"/>
        <v>7942.0556250000009</v>
      </c>
      <c r="E12" s="100">
        <f t="shared" si="25"/>
        <v>5307.9405093750001</v>
      </c>
      <c r="F12" s="100">
        <f t="shared" si="25"/>
        <v>4256.9682885187494</v>
      </c>
      <c r="G12" s="100">
        <f t="shared" si="25"/>
        <v>5334.5133865500575</v>
      </c>
      <c r="H12" s="100">
        <f t="shared" si="25"/>
        <v>5347.8496700164333</v>
      </c>
      <c r="I12" s="100">
        <f t="shared" si="25"/>
        <v>5361.2192941914736</v>
      </c>
      <c r="J12" s="100">
        <f t="shared" si="25"/>
        <v>5374.6223424269529</v>
      </c>
      <c r="K12" s="100">
        <f t="shared" si="25"/>
        <v>4310.4471186264154</v>
      </c>
      <c r="L12" s="100">
        <f t="shared" si="25"/>
        <v>5401.5290455287268</v>
      </c>
      <c r="M12" s="100">
        <f t="shared" si="25"/>
        <v>5415.0328681425481</v>
      </c>
      <c r="N12" s="100">
        <f t="shared" si="25"/>
        <v>5428.5704503129045</v>
      </c>
      <c r="O12" s="100">
        <f t="shared" si="25"/>
        <v>10884.283752877373</v>
      </c>
      <c r="P12" s="100">
        <f t="shared" si="25"/>
        <v>8183.6208466946737</v>
      </c>
      <c r="Q12" s="100">
        <f t="shared" si="25"/>
        <v>5469.3865992076062</v>
      </c>
      <c r="R12" s="100">
        <f t="shared" si="25"/>
        <v>4386.4480525645004</v>
      </c>
      <c r="S12" s="100">
        <f t="shared" si="25"/>
        <v>5496.7677158698889</v>
      </c>
      <c r="T12" s="100">
        <f t="shared" si="25"/>
        <v>5510.509635159563</v>
      </c>
      <c r="U12" s="100">
        <f t="shared" si="25"/>
        <v>5524.2859092474609</v>
      </c>
      <c r="V12" s="100">
        <f t="shared" si="25"/>
        <v>5538.0966240205798</v>
      </c>
      <c r="W12" s="100">
        <f t="shared" si="25"/>
        <v>4441.5534924645053</v>
      </c>
      <c r="X12" s="100">
        <f t="shared" si="25"/>
        <v>5565.8217202445821</v>
      </c>
      <c r="Y12" s="100">
        <f t="shared" si="25"/>
        <v>5579.7362745451937</v>
      </c>
      <c r="Z12" s="100">
        <f t="shared" si="25"/>
        <v>5593.6856152315559</v>
      </c>
      <c r="AA12" s="100">
        <f t="shared" si="25"/>
        <v>11215.339658539269</v>
      </c>
      <c r="AB12" s="100">
        <f t="shared" si="25"/>
        <v>8432.5335057642133</v>
      </c>
      <c r="AC12" s="100">
        <f t="shared" si="25"/>
        <v>5635.7432263524151</v>
      </c>
      <c r="AD12" s="100">
        <f t="shared" si="25"/>
        <v>4519.8660675346373</v>
      </c>
      <c r="AE12" s="100">
        <f t="shared" si="25"/>
        <v>5663.957165879342</v>
      </c>
      <c r="AF12" s="100">
        <f t="shared" si="25"/>
        <v>5678.1170587940405</v>
      </c>
      <c r="AG12" s="100">
        <f t="shared" si="25"/>
        <v>5692.3123514410254</v>
      </c>
      <c r="AH12" s="100">
        <f t="shared" si="25"/>
        <v>5706.5431323196281</v>
      </c>
      <c r="AI12" s="100">
        <f t="shared" si="25"/>
        <v>4576.6475921203419</v>
      </c>
      <c r="AJ12" s="100">
        <f t="shared" si="25"/>
        <v>5735.1115138758023</v>
      </c>
      <c r="AK12" s="100">
        <f t="shared" si="25"/>
        <v>5749.4492926604926</v>
      </c>
      <c r="AL12" s="100">
        <f t="shared" si="25"/>
        <v>5763.8229158921431</v>
      </c>
      <c r="AM12" s="100">
        <f t="shared" si="29"/>
        <v>11556.464946363745</v>
      </c>
      <c r="AN12" s="100">
        <f t="shared" si="29"/>
        <v>8689.0170815472393</v>
      </c>
      <c r="AO12" s="100">
        <f t="shared" si="29"/>
        <v>5807.1597495007372</v>
      </c>
      <c r="AP12" s="100">
        <f t="shared" si="29"/>
        <v>4657.3421190995914</v>
      </c>
      <c r="AQ12" s="100">
        <f t="shared" si="29"/>
        <v>5836.2318429966745</v>
      </c>
      <c r="AR12" s="100">
        <f t="shared" si="29"/>
        <v>5850.8224226041657</v>
      </c>
      <c r="AS12" s="100">
        <f t="shared" si="29"/>
        <v>5865.4494786606756</v>
      </c>
      <c r="AT12" s="100">
        <f t="shared" si="29"/>
        <v>5880.1131023573271</v>
      </c>
      <c r="AU12" s="100">
        <f t="shared" si="29"/>
        <v>4715.8507080905756</v>
      </c>
      <c r="AV12" s="100">
        <f t="shared" si="29"/>
        <v>5909.5504185760028</v>
      </c>
      <c r="AW12" s="100">
        <f t="shared" si="29"/>
        <v>5924.3242946224427</v>
      </c>
      <c r="AX12" s="100">
        <f t="shared" si="29"/>
        <v>5939.1351053589988</v>
      </c>
      <c r="AY12" s="100">
        <f t="shared" si="29"/>
        <v>11907.96588624479</v>
      </c>
      <c r="AZ12" s="100">
        <f t="shared" si="29"/>
        <v>8953.3018507203014</v>
      </c>
      <c r="BA12" s="100">
        <f t="shared" si="29"/>
        <v>5983.7900702314</v>
      </c>
      <c r="BB12" s="100">
        <f t="shared" si="29"/>
        <v>4798.9996363255832</v>
      </c>
      <c r="BC12" s="100">
        <f t="shared" si="29"/>
        <v>6013.7464192704965</v>
      </c>
      <c r="BD12" s="100">
        <f t="shared" si="29"/>
        <v>6028.7807853186723</v>
      </c>
      <c r="BE12" s="100">
        <f t="shared" si="29"/>
        <v>6043.852737281969</v>
      </c>
      <c r="BF12" s="100">
        <f t="shared" si="29"/>
        <v>6058.9623691251736</v>
      </c>
      <c r="BG12" s="100">
        <f t="shared" si="29"/>
        <v>4859.2878200383893</v>
      </c>
      <c r="BH12" s="100">
        <f t="shared" si="29"/>
        <v>6089.2950494856059</v>
      </c>
      <c r="BI12" s="100">
        <f t="shared" si="29"/>
        <v>6104.5182871093202</v>
      </c>
      <c r="BJ12" s="100">
        <f t="shared" si="29"/>
        <v>6119.7795828270928</v>
      </c>
    </row>
    <row r="13" spans="1:62" s="16" customFormat="1" ht="13">
      <c r="A13" s="249" t="s">
        <v>314</v>
      </c>
      <c r="B13" s="104">
        <f t="shared" si="27"/>
        <v>1772291.0956273663</v>
      </c>
      <c r="C13" s="100">
        <f>$G37*$H37*C$21*C$22</f>
        <v>50300</v>
      </c>
      <c r="D13" s="100">
        <f>$G37*$H37*D$21*D$22</f>
        <v>37819.3125</v>
      </c>
      <c r="E13" s="100">
        <f t="shared" si="25"/>
        <v>25275.907187500001</v>
      </c>
      <c r="F13" s="100">
        <f t="shared" si="25"/>
        <v>20271.277564374999</v>
      </c>
      <c r="G13" s="100">
        <f t="shared" si="25"/>
        <v>25402.44469785742</v>
      </c>
      <c r="H13" s="100">
        <f t="shared" si="25"/>
        <v>25465.950809602062</v>
      </c>
      <c r="I13" s="100">
        <f t="shared" si="25"/>
        <v>25529.615686626068</v>
      </c>
      <c r="J13" s="100">
        <f t="shared" si="25"/>
        <v>25593.439725842632</v>
      </c>
      <c r="K13" s="100">
        <f t="shared" si="25"/>
        <v>20525.93866012579</v>
      </c>
      <c r="L13" s="100">
        <f t="shared" si="25"/>
        <v>25721.566883470125</v>
      </c>
      <c r="M13" s="100">
        <f t="shared" si="25"/>
        <v>25785.8708006788</v>
      </c>
      <c r="N13" s="100">
        <f t="shared" si="25"/>
        <v>25850.335477680499</v>
      </c>
      <c r="O13" s="100">
        <f t="shared" si="25"/>
        <v>51829.922632749389</v>
      </c>
      <c r="P13" s="100">
        <f t="shared" si="25"/>
        <v>38969.623079498444</v>
      </c>
      <c r="Q13" s="100">
        <f t="shared" si="25"/>
        <v>26044.69809146479</v>
      </c>
      <c r="R13" s="100">
        <f t="shared" si="25"/>
        <v>20887.847869354766</v>
      </c>
      <c r="S13" s="100">
        <f t="shared" si="25"/>
        <v>26175.084361285182</v>
      </c>
      <c r="T13" s="100">
        <f t="shared" si="25"/>
        <v>26240.522072188392</v>
      </c>
      <c r="U13" s="100">
        <f t="shared" si="25"/>
        <v>26306.123377368862</v>
      </c>
      <c r="V13" s="100">
        <f t="shared" si="25"/>
        <v>26371.888685812282</v>
      </c>
      <c r="W13" s="100">
        <f t="shared" si="25"/>
        <v>21150.254726021452</v>
      </c>
      <c r="X13" s="100">
        <f t="shared" si="25"/>
        <v>26503.912953545627</v>
      </c>
      <c r="Y13" s="100">
        <f t="shared" si="25"/>
        <v>26570.172735929493</v>
      </c>
      <c r="Z13" s="100">
        <f t="shared" si="25"/>
        <v>26636.598167769316</v>
      </c>
      <c r="AA13" s="100">
        <f t="shared" si="25"/>
        <v>53406.379326377471</v>
      </c>
      <c r="AB13" s="100">
        <f t="shared" si="25"/>
        <v>40154.921456020063</v>
      </c>
      <c r="AC13" s="100">
        <f t="shared" si="25"/>
        <v>26836.872506440075</v>
      </c>
      <c r="AD13" s="100">
        <f t="shared" si="25"/>
        <v>21523.17175016494</v>
      </c>
      <c r="AE13" s="100">
        <f t="shared" si="25"/>
        <v>26971.224599425437</v>
      </c>
      <c r="AF13" s="100">
        <f t="shared" si="25"/>
        <v>27038.652660923999</v>
      </c>
      <c r="AG13" s="100">
        <f t="shared" si="25"/>
        <v>27106.249292576311</v>
      </c>
      <c r="AH13" s="100">
        <f t="shared" si="25"/>
        <v>27174.014915807755</v>
      </c>
      <c r="AI13" s="100">
        <f t="shared" si="25"/>
        <v>21793.559962477819</v>
      </c>
      <c r="AJ13" s="100">
        <f t="shared" si="25"/>
        <v>27310.054827980013</v>
      </c>
      <c r="AK13" s="100">
        <f>$G37*$H37*AK$21*AK$22</f>
        <v>27378.329965049965</v>
      </c>
      <c r="AL13" s="100">
        <f>$G37*$H37*AL$21*AL$22</f>
        <v>27446.775789962587</v>
      </c>
      <c r="AM13" s="100">
        <f t="shared" ref="AM13:BJ13" si="30">$G37*$H37*AM$21*AM$22</f>
        <v>55030.785458874976</v>
      </c>
      <c r="AN13" s="100">
        <f t="shared" si="30"/>
        <v>41376.271816891618</v>
      </c>
      <c r="AO13" s="100">
        <f t="shared" si="30"/>
        <v>27653.141664289225</v>
      </c>
      <c r="AP13" s="100">
        <f t="shared" si="30"/>
        <v>22177.819614759959</v>
      </c>
      <c r="AQ13" s="100">
        <f t="shared" si="30"/>
        <v>27791.580204746067</v>
      </c>
      <c r="AR13" s="100">
        <f t="shared" si="30"/>
        <v>27861.059155257932</v>
      </c>
      <c r="AS13" s="100">
        <f t="shared" si="30"/>
        <v>27930.711803146074</v>
      </c>
      <c r="AT13" s="100">
        <f t="shared" si="30"/>
        <v>28000.538582653939</v>
      </c>
      <c r="AU13" s="100">
        <f t="shared" si="30"/>
        <v>22456.431943288459</v>
      </c>
      <c r="AV13" s="100">
        <f t="shared" si="30"/>
        <v>28140.716278933349</v>
      </c>
      <c r="AW13" s="100">
        <f t="shared" si="30"/>
        <v>28211.068069630681</v>
      </c>
      <c r="AX13" s="100">
        <f t="shared" si="30"/>
        <v>28281.595739804754</v>
      </c>
      <c r="AY13" s="100">
        <f t="shared" si="30"/>
        <v>56704.599458308527</v>
      </c>
      <c r="AZ13" s="100">
        <f t="shared" si="30"/>
        <v>42634.770717715714</v>
      </c>
      <c r="BA13" s="100">
        <f t="shared" si="30"/>
        <v>28494.238429673336</v>
      </c>
      <c r="BB13" s="100">
        <f t="shared" si="30"/>
        <v>22852.379220598013</v>
      </c>
      <c r="BC13" s="100">
        <f t="shared" si="30"/>
        <v>28636.887710811887</v>
      </c>
      <c r="BD13" s="100">
        <f t="shared" si="30"/>
        <v>28708.479930088914</v>
      </c>
      <c r="BE13" s="100">
        <f t="shared" si="30"/>
        <v>28780.251129914137</v>
      </c>
      <c r="BF13" s="100">
        <f t="shared" si="30"/>
        <v>28852.20175773892</v>
      </c>
      <c r="BG13" s="100">
        <f t="shared" si="30"/>
        <v>23139.465809706613</v>
      </c>
      <c r="BH13" s="100">
        <f t="shared" si="30"/>
        <v>28996.643092788599</v>
      </c>
      <c r="BI13" s="100">
        <f t="shared" si="30"/>
        <v>29069.134700520572</v>
      </c>
      <c r="BJ13" s="100">
        <f t="shared" si="30"/>
        <v>29141.80753727187</v>
      </c>
    </row>
    <row r="14" spans="1:62" s="16" customFormat="1" ht="13">
      <c r="A14" s="249" t="s">
        <v>321</v>
      </c>
      <c r="B14" s="104">
        <f t="shared" si="27"/>
        <v>9446311.5396938659</v>
      </c>
      <c r="C14" s="100">
        <f>$G38*$H38*C$21*C$22</f>
        <v>268099</v>
      </c>
      <c r="D14" s="100">
        <f>$G38*$H38*D$21*D$22</f>
        <v>201576.93562499998</v>
      </c>
      <c r="E14" s="100">
        <f t="shared" ref="E14:BJ14" si="31">$G38*$H38*E$21*E$22</f>
        <v>134720.58530937502</v>
      </c>
      <c r="F14" s="100">
        <f t="shared" si="31"/>
        <v>108045.90941811875</v>
      </c>
      <c r="G14" s="100">
        <f t="shared" si="31"/>
        <v>135395.03023958002</v>
      </c>
      <c r="H14" s="100">
        <f t="shared" si="31"/>
        <v>135733.51781517899</v>
      </c>
      <c r="I14" s="100">
        <f t="shared" si="31"/>
        <v>136072.85160971695</v>
      </c>
      <c r="J14" s="100">
        <f t="shared" si="31"/>
        <v>136413.03373874121</v>
      </c>
      <c r="K14" s="100">
        <f t="shared" si="31"/>
        <v>109403.25305847047</v>
      </c>
      <c r="L14" s="100">
        <f t="shared" si="31"/>
        <v>137095.95148889578</v>
      </c>
      <c r="M14" s="100">
        <f t="shared" si="31"/>
        <v>137438.69136761801</v>
      </c>
      <c r="N14" s="100">
        <f t="shared" si="31"/>
        <v>137782.28809603705</v>
      </c>
      <c r="O14" s="100">
        <f t="shared" si="31"/>
        <v>276253.48763255426</v>
      </c>
      <c r="P14" s="100">
        <f t="shared" si="31"/>
        <v>207708.09101372672</v>
      </c>
      <c r="Q14" s="100">
        <f t="shared" si="31"/>
        <v>138818.24082750734</v>
      </c>
      <c r="R14" s="100">
        <f t="shared" si="31"/>
        <v>111332.22914366089</v>
      </c>
      <c r="S14" s="100">
        <f t="shared" si="31"/>
        <v>139513.19964565002</v>
      </c>
      <c r="T14" s="100">
        <f t="shared" si="31"/>
        <v>139861.98264476412</v>
      </c>
      <c r="U14" s="100">
        <f t="shared" si="31"/>
        <v>140211.63760137605</v>
      </c>
      <c r="V14" s="100">
        <f t="shared" si="31"/>
        <v>140562.16669537948</v>
      </c>
      <c r="W14" s="100">
        <f t="shared" si="31"/>
        <v>112730.85768969434</v>
      </c>
      <c r="X14" s="100">
        <f t="shared" si="31"/>
        <v>141265.8560423982</v>
      </c>
      <c r="Y14" s="100">
        <f t="shared" si="31"/>
        <v>141619.0206825042</v>
      </c>
      <c r="Z14" s="100">
        <f t="shared" si="31"/>
        <v>141973.06823421046</v>
      </c>
      <c r="AA14" s="100">
        <f t="shared" si="31"/>
        <v>284656.00180959195</v>
      </c>
      <c r="AB14" s="100">
        <f t="shared" si="31"/>
        <v>214025.73136058694</v>
      </c>
      <c r="AC14" s="100">
        <f t="shared" si="31"/>
        <v>143040.53045932559</v>
      </c>
      <c r="AD14" s="100">
        <f t="shared" si="31"/>
        <v>114718.50542837913</v>
      </c>
      <c r="AE14" s="100">
        <f t="shared" si="31"/>
        <v>143756.62711493758</v>
      </c>
      <c r="AF14" s="100">
        <f t="shared" si="31"/>
        <v>144116.01868272491</v>
      </c>
      <c r="AG14" s="100">
        <f t="shared" si="31"/>
        <v>144476.30872943174</v>
      </c>
      <c r="AH14" s="100">
        <f t="shared" si="31"/>
        <v>144837.49950125534</v>
      </c>
      <c r="AI14" s="100">
        <f t="shared" si="31"/>
        <v>116159.67460000677</v>
      </c>
      <c r="AJ14" s="100">
        <f t="shared" si="31"/>
        <v>145562.59223313347</v>
      </c>
      <c r="AK14" s="100">
        <f t="shared" si="31"/>
        <v>145926.49871371631</v>
      </c>
      <c r="AL14" s="100">
        <f t="shared" si="31"/>
        <v>146291.31496050057</v>
      </c>
      <c r="AM14" s="100">
        <f t="shared" si="31"/>
        <v>293314.08649580361</v>
      </c>
      <c r="AN14" s="100">
        <f t="shared" si="31"/>
        <v>220535.5287840323</v>
      </c>
      <c r="AO14" s="100">
        <f t="shared" si="31"/>
        <v>147391.24507066159</v>
      </c>
      <c r="AP14" s="100">
        <f t="shared" si="31"/>
        <v>118207.77854667057</v>
      </c>
      <c r="AQ14" s="100">
        <f t="shared" si="31"/>
        <v>148129.12249129656</v>
      </c>
      <c r="AR14" s="100">
        <f t="shared" si="31"/>
        <v>148499.4452975248</v>
      </c>
      <c r="AS14" s="100">
        <f t="shared" si="31"/>
        <v>148870.69391076858</v>
      </c>
      <c r="AT14" s="100">
        <f t="shared" si="31"/>
        <v>149242.87064554548</v>
      </c>
      <c r="AU14" s="100">
        <f t="shared" si="31"/>
        <v>119692.78225772749</v>
      </c>
      <c r="AV14" s="100">
        <f t="shared" si="31"/>
        <v>149990.01776671474</v>
      </c>
      <c r="AW14" s="100">
        <f t="shared" si="31"/>
        <v>150364.99281113152</v>
      </c>
      <c r="AX14" s="100">
        <f t="shared" si="31"/>
        <v>150740.90529315933</v>
      </c>
      <c r="AY14" s="100">
        <f t="shared" si="31"/>
        <v>302235.51511278446</v>
      </c>
      <c r="AZ14" s="100">
        <f t="shared" si="31"/>
        <v>227243.32792542476</v>
      </c>
      <c r="BA14" s="100">
        <f t="shared" si="31"/>
        <v>151874.29083015889</v>
      </c>
      <c r="BB14" s="100">
        <f t="shared" si="31"/>
        <v>121803.18124578742</v>
      </c>
      <c r="BC14" s="100">
        <f t="shared" si="31"/>
        <v>152634.61149862735</v>
      </c>
      <c r="BD14" s="100">
        <f t="shared" si="31"/>
        <v>153016.1980273739</v>
      </c>
      <c r="BE14" s="100">
        <f t="shared" si="31"/>
        <v>153398.73852244235</v>
      </c>
      <c r="BF14" s="100">
        <f t="shared" si="31"/>
        <v>153782.23536874846</v>
      </c>
      <c r="BG14" s="100">
        <f t="shared" si="31"/>
        <v>123333.35276573627</v>
      </c>
      <c r="BH14" s="100">
        <f t="shared" si="31"/>
        <v>154552.10768456323</v>
      </c>
      <c r="BI14" s="100">
        <f t="shared" si="31"/>
        <v>154938.48795377463</v>
      </c>
      <c r="BJ14" s="100">
        <f t="shared" si="31"/>
        <v>155325.83417365907</v>
      </c>
    </row>
    <row r="15" spans="1:62" s="16" customFormat="1" ht="13">
      <c r="A15" s="249"/>
      <c r="B15" s="104">
        <f t="shared" si="27"/>
        <v>0</v>
      </c>
      <c r="C15" s="100">
        <f t="shared" ref="C15:AL15" si="32">$G40*$H40*C$21*C$22</f>
        <v>0</v>
      </c>
      <c r="D15" s="100">
        <f t="shared" si="32"/>
        <v>0</v>
      </c>
      <c r="E15" s="100">
        <f t="shared" si="32"/>
        <v>0</v>
      </c>
      <c r="F15" s="100">
        <f t="shared" si="32"/>
        <v>0</v>
      </c>
      <c r="G15" s="100">
        <f t="shared" si="32"/>
        <v>0</v>
      </c>
      <c r="H15" s="100">
        <f t="shared" si="32"/>
        <v>0</v>
      </c>
      <c r="I15" s="100">
        <f t="shared" si="32"/>
        <v>0</v>
      </c>
      <c r="J15" s="100">
        <f t="shared" si="32"/>
        <v>0</v>
      </c>
      <c r="K15" s="100">
        <f t="shared" si="32"/>
        <v>0</v>
      </c>
      <c r="L15" s="100">
        <f t="shared" si="32"/>
        <v>0</v>
      </c>
      <c r="M15" s="100">
        <f t="shared" si="32"/>
        <v>0</v>
      </c>
      <c r="N15" s="100">
        <f t="shared" si="32"/>
        <v>0</v>
      </c>
      <c r="O15" s="100">
        <f t="shared" si="32"/>
        <v>0</v>
      </c>
      <c r="P15" s="100">
        <f t="shared" si="32"/>
        <v>0</v>
      </c>
      <c r="Q15" s="100">
        <f t="shared" si="32"/>
        <v>0</v>
      </c>
      <c r="R15" s="100">
        <f t="shared" si="32"/>
        <v>0</v>
      </c>
      <c r="S15" s="100">
        <f t="shared" si="32"/>
        <v>0</v>
      </c>
      <c r="T15" s="100">
        <f t="shared" si="32"/>
        <v>0</v>
      </c>
      <c r="U15" s="100">
        <f t="shared" si="32"/>
        <v>0</v>
      </c>
      <c r="V15" s="100">
        <f t="shared" si="32"/>
        <v>0</v>
      </c>
      <c r="W15" s="100">
        <f t="shared" si="32"/>
        <v>0</v>
      </c>
      <c r="X15" s="100">
        <f t="shared" si="32"/>
        <v>0</v>
      </c>
      <c r="Y15" s="100">
        <f t="shared" si="32"/>
        <v>0</v>
      </c>
      <c r="Z15" s="100">
        <f t="shared" si="32"/>
        <v>0</v>
      </c>
      <c r="AA15" s="100">
        <f t="shared" si="32"/>
        <v>0</v>
      </c>
      <c r="AB15" s="100">
        <f t="shared" si="32"/>
        <v>0</v>
      </c>
      <c r="AC15" s="100">
        <f t="shared" si="32"/>
        <v>0</v>
      </c>
      <c r="AD15" s="100">
        <f t="shared" si="32"/>
        <v>0</v>
      </c>
      <c r="AE15" s="100">
        <f t="shared" si="32"/>
        <v>0</v>
      </c>
      <c r="AF15" s="100">
        <f t="shared" si="32"/>
        <v>0</v>
      </c>
      <c r="AG15" s="100">
        <f t="shared" si="32"/>
        <v>0</v>
      </c>
      <c r="AH15" s="100">
        <f t="shared" si="32"/>
        <v>0</v>
      </c>
      <c r="AI15" s="100">
        <f t="shared" si="32"/>
        <v>0</v>
      </c>
      <c r="AJ15" s="100">
        <f t="shared" si="32"/>
        <v>0</v>
      </c>
      <c r="AK15" s="100">
        <f t="shared" si="32"/>
        <v>0</v>
      </c>
      <c r="AL15" s="100">
        <f t="shared" si="32"/>
        <v>0</v>
      </c>
      <c r="AM15" s="100">
        <f t="shared" ref="AM15:BJ15" si="33">$G40*$H40*AM$21*AM$22</f>
        <v>0</v>
      </c>
      <c r="AN15" s="100">
        <f t="shared" si="33"/>
        <v>0</v>
      </c>
      <c r="AO15" s="100">
        <f t="shared" si="33"/>
        <v>0</v>
      </c>
      <c r="AP15" s="100">
        <f t="shared" si="33"/>
        <v>0</v>
      </c>
      <c r="AQ15" s="100">
        <f t="shared" si="33"/>
        <v>0</v>
      </c>
      <c r="AR15" s="100">
        <f t="shared" si="33"/>
        <v>0</v>
      </c>
      <c r="AS15" s="100">
        <f t="shared" si="33"/>
        <v>0</v>
      </c>
      <c r="AT15" s="100">
        <f t="shared" si="33"/>
        <v>0</v>
      </c>
      <c r="AU15" s="100">
        <f t="shared" si="33"/>
        <v>0</v>
      </c>
      <c r="AV15" s="100">
        <f t="shared" si="33"/>
        <v>0</v>
      </c>
      <c r="AW15" s="100">
        <f t="shared" si="33"/>
        <v>0</v>
      </c>
      <c r="AX15" s="100">
        <f t="shared" si="33"/>
        <v>0</v>
      </c>
      <c r="AY15" s="100">
        <f t="shared" si="33"/>
        <v>0</v>
      </c>
      <c r="AZ15" s="100">
        <f t="shared" si="33"/>
        <v>0</v>
      </c>
      <c r="BA15" s="100">
        <f t="shared" si="33"/>
        <v>0</v>
      </c>
      <c r="BB15" s="100">
        <f t="shared" si="33"/>
        <v>0</v>
      </c>
      <c r="BC15" s="100">
        <f t="shared" si="33"/>
        <v>0</v>
      </c>
      <c r="BD15" s="100">
        <f t="shared" si="33"/>
        <v>0</v>
      </c>
      <c r="BE15" s="100">
        <f t="shared" si="33"/>
        <v>0</v>
      </c>
      <c r="BF15" s="100">
        <f t="shared" si="33"/>
        <v>0</v>
      </c>
      <c r="BG15" s="100">
        <f t="shared" si="33"/>
        <v>0</v>
      </c>
      <c r="BH15" s="100">
        <f t="shared" si="33"/>
        <v>0</v>
      </c>
      <c r="BI15" s="100">
        <f t="shared" si="33"/>
        <v>0</v>
      </c>
      <c r="BJ15" s="100">
        <f t="shared" si="33"/>
        <v>0</v>
      </c>
    </row>
    <row r="16" spans="1:62" s="16" customFormat="1" ht="13">
      <c r="A16" s="249"/>
      <c r="B16" s="104">
        <f t="shared" si="27"/>
        <v>0</v>
      </c>
      <c r="C16" s="100">
        <f t="shared" ref="C16:AL16" si="34">$G41*$H41*C$21*C$22</f>
        <v>0</v>
      </c>
      <c r="D16" s="100">
        <f t="shared" si="34"/>
        <v>0</v>
      </c>
      <c r="E16" s="100">
        <f t="shared" si="34"/>
        <v>0</v>
      </c>
      <c r="F16" s="100">
        <f t="shared" si="34"/>
        <v>0</v>
      </c>
      <c r="G16" s="100">
        <f t="shared" si="34"/>
        <v>0</v>
      </c>
      <c r="H16" s="100">
        <f t="shared" si="34"/>
        <v>0</v>
      </c>
      <c r="I16" s="100">
        <f t="shared" si="34"/>
        <v>0</v>
      </c>
      <c r="J16" s="100">
        <f t="shared" si="34"/>
        <v>0</v>
      </c>
      <c r="K16" s="100">
        <f t="shared" si="34"/>
        <v>0</v>
      </c>
      <c r="L16" s="100">
        <f t="shared" si="34"/>
        <v>0</v>
      </c>
      <c r="M16" s="100">
        <f t="shared" si="34"/>
        <v>0</v>
      </c>
      <c r="N16" s="100">
        <f t="shared" si="34"/>
        <v>0</v>
      </c>
      <c r="O16" s="100">
        <f t="shared" si="34"/>
        <v>0</v>
      </c>
      <c r="P16" s="100">
        <f t="shared" si="34"/>
        <v>0</v>
      </c>
      <c r="Q16" s="100">
        <f t="shared" si="34"/>
        <v>0</v>
      </c>
      <c r="R16" s="100">
        <f t="shared" si="34"/>
        <v>0</v>
      </c>
      <c r="S16" s="100">
        <f t="shared" si="34"/>
        <v>0</v>
      </c>
      <c r="T16" s="100">
        <f t="shared" si="34"/>
        <v>0</v>
      </c>
      <c r="U16" s="100">
        <f t="shared" si="34"/>
        <v>0</v>
      </c>
      <c r="V16" s="100">
        <f t="shared" si="34"/>
        <v>0</v>
      </c>
      <c r="W16" s="100">
        <f t="shared" si="34"/>
        <v>0</v>
      </c>
      <c r="X16" s="100">
        <f t="shared" si="34"/>
        <v>0</v>
      </c>
      <c r="Y16" s="100">
        <f t="shared" si="34"/>
        <v>0</v>
      </c>
      <c r="Z16" s="100">
        <f t="shared" si="34"/>
        <v>0</v>
      </c>
      <c r="AA16" s="100">
        <f t="shared" si="34"/>
        <v>0</v>
      </c>
      <c r="AB16" s="100">
        <f t="shared" si="34"/>
        <v>0</v>
      </c>
      <c r="AC16" s="100">
        <f t="shared" si="34"/>
        <v>0</v>
      </c>
      <c r="AD16" s="100">
        <f t="shared" si="34"/>
        <v>0</v>
      </c>
      <c r="AE16" s="100">
        <f t="shared" si="34"/>
        <v>0</v>
      </c>
      <c r="AF16" s="100">
        <f t="shared" si="34"/>
        <v>0</v>
      </c>
      <c r="AG16" s="100">
        <f t="shared" si="34"/>
        <v>0</v>
      </c>
      <c r="AH16" s="100">
        <f t="shared" si="34"/>
        <v>0</v>
      </c>
      <c r="AI16" s="100">
        <f t="shared" si="34"/>
        <v>0</v>
      </c>
      <c r="AJ16" s="100">
        <f t="shared" si="34"/>
        <v>0</v>
      </c>
      <c r="AK16" s="100">
        <f t="shared" si="34"/>
        <v>0</v>
      </c>
      <c r="AL16" s="100">
        <f t="shared" si="34"/>
        <v>0</v>
      </c>
      <c r="AM16" s="100">
        <f t="shared" ref="AM16:BJ16" si="35">$G41*$H41*AM$21*AM$22</f>
        <v>0</v>
      </c>
      <c r="AN16" s="100">
        <f t="shared" si="35"/>
        <v>0</v>
      </c>
      <c r="AO16" s="100">
        <f t="shared" si="35"/>
        <v>0</v>
      </c>
      <c r="AP16" s="100">
        <f t="shared" si="35"/>
        <v>0</v>
      </c>
      <c r="AQ16" s="100">
        <f t="shared" si="35"/>
        <v>0</v>
      </c>
      <c r="AR16" s="100">
        <f t="shared" si="35"/>
        <v>0</v>
      </c>
      <c r="AS16" s="100">
        <f t="shared" si="35"/>
        <v>0</v>
      </c>
      <c r="AT16" s="100">
        <f t="shared" si="35"/>
        <v>0</v>
      </c>
      <c r="AU16" s="100">
        <f t="shared" si="35"/>
        <v>0</v>
      </c>
      <c r="AV16" s="100">
        <f t="shared" si="35"/>
        <v>0</v>
      </c>
      <c r="AW16" s="100">
        <f t="shared" si="35"/>
        <v>0</v>
      </c>
      <c r="AX16" s="100">
        <f t="shared" si="35"/>
        <v>0</v>
      </c>
      <c r="AY16" s="100">
        <f t="shared" si="35"/>
        <v>0</v>
      </c>
      <c r="AZ16" s="100">
        <f t="shared" si="35"/>
        <v>0</v>
      </c>
      <c r="BA16" s="100">
        <f t="shared" si="35"/>
        <v>0</v>
      </c>
      <c r="BB16" s="100">
        <f t="shared" si="35"/>
        <v>0</v>
      </c>
      <c r="BC16" s="100">
        <f t="shared" si="35"/>
        <v>0</v>
      </c>
      <c r="BD16" s="100">
        <f t="shared" si="35"/>
        <v>0</v>
      </c>
      <c r="BE16" s="100">
        <f t="shared" si="35"/>
        <v>0</v>
      </c>
      <c r="BF16" s="100">
        <f t="shared" si="35"/>
        <v>0</v>
      </c>
      <c r="BG16" s="100">
        <f t="shared" si="35"/>
        <v>0</v>
      </c>
      <c r="BH16" s="100">
        <f t="shared" si="35"/>
        <v>0</v>
      </c>
      <c r="BI16" s="100">
        <f t="shared" si="35"/>
        <v>0</v>
      </c>
      <c r="BJ16" s="100">
        <f t="shared" si="35"/>
        <v>0</v>
      </c>
    </row>
    <row r="17" spans="1:62" s="11" customFormat="1" ht="13">
      <c r="A17" s="20" t="s">
        <v>153</v>
      </c>
      <c r="B17" s="106">
        <f>SUM(C17:BJ17)</f>
        <v>54280668.302217595</v>
      </c>
      <c r="C17" s="21">
        <f t="shared" ref="C17:AL17" si="36">SUM(C6:C16)</f>
        <v>1540558.22</v>
      </c>
      <c r="D17" s="21">
        <f t="shared" si="36"/>
        <v>1158307.2116624999</v>
      </c>
      <c r="E17" s="21">
        <f t="shared" si="36"/>
        <v>774135.31979443762</v>
      </c>
      <c r="F17" s="21">
        <f t="shared" si="36"/>
        <v>620856.52647513885</v>
      </c>
      <c r="G17" s="21">
        <f t="shared" si="36"/>
        <v>778010.83473915816</v>
      </c>
      <c r="H17" s="21">
        <f t="shared" si="36"/>
        <v>779955.86182600609</v>
      </c>
      <c r="I17" s="21">
        <f t="shared" si="36"/>
        <v>781905.75148057123</v>
      </c>
      <c r="J17" s="21">
        <f t="shared" si="36"/>
        <v>783860.51585927256</v>
      </c>
      <c r="K17" s="21">
        <f t="shared" si="36"/>
        <v>628656.13371913671</v>
      </c>
      <c r="L17" s="21">
        <f t="shared" si="36"/>
        <v>787784.71756679309</v>
      </c>
      <c r="M17" s="21">
        <f t="shared" si="36"/>
        <v>789754.17936070997</v>
      </c>
      <c r="N17" s="21">
        <f t="shared" si="36"/>
        <v>791728.56480911165</v>
      </c>
      <c r="O17" s="21">
        <f t="shared" si="36"/>
        <v>1587415.7724422689</v>
      </c>
      <c r="P17" s="21">
        <f t="shared" si="36"/>
        <v>1193538.2339050306</v>
      </c>
      <c r="Q17" s="21">
        <f t="shared" si="36"/>
        <v>797681.38632652874</v>
      </c>
      <c r="R17" s="21">
        <f t="shared" si="36"/>
        <v>639740.4718338761</v>
      </c>
      <c r="S17" s="21">
        <f t="shared" si="36"/>
        <v>801674.77876682591</v>
      </c>
      <c r="T17" s="21">
        <f t="shared" si="36"/>
        <v>803678.96571374277</v>
      </c>
      <c r="U17" s="21">
        <f t="shared" si="36"/>
        <v>805688.16312802711</v>
      </c>
      <c r="V17" s="21">
        <f t="shared" si="36"/>
        <v>807702.38353584707</v>
      </c>
      <c r="W17" s="21">
        <f t="shared" si="36"/>
        <v>647777.31159574946</v>
      </c>
      <c r="X17" s="21">
        <f t="shared" si="36"/>
        <v>811745.94359342335</v>
      </c>
      <c r="Y17" s="21">
        <f t="shared" si="36"/>
        <v>813775.30845240678</v>
      </c>
      <c r="Z17" s="21">
        <f t="shared" si="36"/>
        <v>815809.7467235378</v>
      </c>
      <c r="AA17" s="21">
        <f t="shared" si="36"/>
        <v>1635698.5421806935</v>
      </c>
      <c r="AB17" s="21">
        <f t="shared" si="36"/>
        <v>1229840.841402109</v>
      </c>
      <c r="AC17" s="21">
        <f t="shared" si="36"/>
        <v>821943.62900374248</v>
      </c>
      <c r="AD17" s="21">
        <f t="shared" si="36"/>
        <v>659198.79046100168</v>
      </c>
      <c r="AE17" s="21">
        <f t="shared" si="36"/>
        <v>826058.48429644248</v>
      </c>
      <c r="AF17" s="21">
        <f t="shared" si="36"/>
        <v>828123.63050718384</v>
      </c>
      <c r="AG17" s="21">
        <f t="shared" si="36"/>
        <v>830193.93958345184</v>
      </c>
      <c r="AH17" s="21">
        <f t="shared" si="36"/>
        <v>832269.42443241039</v>
      </c>
      <c r="AI17" s="21">
        <f t="shared" si="36"/>
        <v>667480.07839479309</v>
      </c>
      <c r="AJ17" s="21">
        <f t="shared" si="36"/>
        <v>836435.97323847504</v>
      </c>
      <c r="AK17" s="21">
        <f t="shared" si="36"/>
        <v>838527.06317157112</v>
      </c>
      <c r="AL17" s="21">
        <f t="shared" si="36"/>
        <v>840623.38082950003</v>
      </c>
      <c r="AM17" s="21">
        <f t="shared" ref="AM17:BJ17" si="37">SUM(AM6:AM16)</f>
        <v>1685449.8785631475</v>
      </c>
      <c r="AN17" s="21">
        <f t="shared" si="37"/>
        <v>1267247.6274446663</v>
      </c>
      <c r="AO17" s="21">
        <f t="shared" si="37"/>
        <v>846943.83100885176</v>
      </c>
      <c r="AP17" s="21">
        <f t="shared" si="37"/>
        <v>679248.9524690992</v>
      </c>
      <c r="AQ17" s="21">
        <f t="shared" si="37"/>
        <v>851183.84356283979</v>
      </c>
      <c r="AR17" s="21">
        <f t="shared" si="37"/>
        <v>853311.80317174678</v>
      </c>
      <c r="AS17" s="21">
        <f t="shared" si="37"/>
        <v>855445.08267967624</v>
      </c>
      <c r="AT17" s="21">
        <f t="shared" si="37"/>
        <v>857583.6953863753</v>
      </c>
      <c r="AU17" s="21">
        <f t="shared" si="37"/>
        <v>687782.12369987287</v>
      </c>
      <c r="AV17" s="21">
        <f t="shared" si="37"/>
        <v>861876.97376140323</v>
      </c>
      <c r="AW17" s="21">
        <f t="shared" si="37"/>
        <v>864031.66619580658</v>
      </c>
      <c r="AX17" s="21">
        <f t="shared" si="37"/>
        <v>866191.74536129611</v>
      </c>
      <c r="AY17" s="21">
        <f t="shared" si="37"/>
        <v>1736714.4494493986</v>
      </c>
      <c r="AZ17" s="21">
        <f t="shared" si="37"/>
        <v>1305792.1766797663</v>
      </c>
      <c r="BA17" s="21">
        <f t="shared" si="37"/>
        <v>872704.43808097718</v>
      </c>
      <c r="BB17" s="21">
        <f t="shared" si="37"/>
        <v>699908.95934094372</v>
      </c>
      <c r="BC17" s="21">
        <f t="shared" si="37"/>
        <v>877073.41467411991</v>
      </c>
      <c r="BD17" s="21">
        <f t="shared" si="37"/>
        <v>879266.09821080521</v>
      </c>
      <c r="BE17" s="21">
        <f t="shared" si="37"/>
        <v>881464.2634563325</v>
      </c>
      <c r="BF17" s="21">
        <f t="shared" si="37"/>
        <v>883667.92411497317</v>
      </c>
      <c r="BG17" s="21">
        <f t="shared" si="37"/>
        <v>708701.67514020833</v>
      </c>
      <c r="BH17" s="21">
        <f t="shared" si="37"/>
        <v>888091.78666007356</v>
      </c>
      <c r="BI17" s="21">
        <f t="shared" si="37"/>
        <v>890312.01612672373</v>
      </c>
      <c r="BJ17" s="21">
        <f t="shared" si="37"/>
        <v>892537.79616704048</v>
      </c>
    </row>
    <row r="18" spans="1:62" s="11" customFormat="1" ht="13">
      <c r="A18" s="22" t="s">
        <v>230</v>
      </c>
      <c r="B18" s="106">
        <f>SUM(C18:BJ18)</f>
        <v>43424534.641774096</v>
      </c>
      <c r="C18" s="21">
        <f>C17-C19</f>
        <v>1232446.5759999999</v>
      </c>
      <c r="D18" s="21">
        <f>D17-D19</f>
        <v>926645.76932999992</v>
      </c>
      <c r="E18" s="21">
        <f t="shared" ref="E18:BJ18" si="38">E17-E19</f>
        <v>619308.25583555014</v>
      </c>
      <c r="F18" s="21">
        <f t="shared" si="38"/>
        <v>496685.22118011105</v>
      </c>
      <c r="G18" s="21">
        <f t="shared" si="38"/>
        <v>622408.66779132653</v>
      </c>
      <c r="H18" s="21">
        <f t="shared" si="38"/>
        <v>623964.68946080492</v>
      </c>
      <c r="I18" s="21">
        <f t="shared" si="38"/>
        <v>625524.60118445696</v>
      </c>
      <c r="J18" s="21">
        <f t="shared" si="38"/>
        <v>627088.41268741805</v>
      </c>
      <c r="K18" s="21">
        <f t="shared" si="38"/>
        <v>502924.90697530936</v>
      </c>
      <c r="L18" s="21">
        <f t="shared" si="38"/>
        <v>630227.77405343449</v>
      </c>
      <c r="M18" s="21">
        <f t="shared" si="38"/>
        <v>631803.34348856797</v>
      </c>
      <c r="N18" s="21">
        <f t="shared" si="38"/>
        <v>633382.85184728936</v>
      </c>
      <c r="O18" s="21">
        <f t="shared" si="38"/>
        <v>1269932.617953815</v>
      </c>
      <c r="P18" s="21">
        <f t="shared" si="38"/>
        <v>954830.58712402452</v>
      </c>
      <c r="Q18" s="21">
        <f t="shared" si="38"/>
        <v>638145.10906122299</v>
      </c>
      <c r="R18" s="21">
        <f t="shared" si="38"/>
        <v>511792.37746710086</v>
      </c>
      <c r="S18" s="21">
        <f t="shared" si="38"/>
        <v>641339.82301346073</v>
      </c>
      <c r="T18" s="21">
        <f t="shared" si="38"/>
        <v>642943.17257099424</v>
      </c>
      <c r="U18" s="21">
        <f t="shared" si="38"/>
        <v>644550.53050242167</v>
      </c>
      <c r="V18" s="21">
        <f t="shared" si="38"/>
        <v>646161.90682867763</v>
      </c>
      <c r="W18" s="21">
        <f t="shared" si="38"/>
        <v>518221.84927659959</v>
      </c>
      <c r="X18" s="21">
        <f t="shared" si="38"/>
        <v>649396.75487473863</v>
      </c>
      <c r="Y18" s="21">
        <f t="shared" si="38"/>
        <v>651020.2467619254</v>
      </c>
      <c r="Z18" s="21">
        <f t="shared" si="38"/>
        <v>652647.79737883026</v>
      </c>
      <c r="AA18" s="21">
        <f t="shared" si="38"/>
        <v>1308558.8337445548</v>
      </c>
      <c r="AB18" s="21">
        <f t="shared" si="38"/>
        <v>983872.67312168726</v>
      </c>
      <c r="AC18" s="21">
        <f t="shared" si="38"/>
        <v>657554.90320299403</v>
      </c>
      <c r="AD18" s="21">
        <f t="shared" si="38"/>
        <v>527359.0323688013</v>
      </c>
      <c r="AE18" s="21">
        <f t="shared" si="38"/>
        <v>660846.78743715398</v>
      </c>
      <c r="AF18" s="21">
        <f t="shared" si="38"/>
        <v>662498.90440574707</v>
      </c>
      <c r="AG18" s="21">
        <f t="shared" si="38"/>
        <v>664155.15166676149</v>
      </c>
      <c r="AH18" s="21">
        <f t="shared" si="38"/>
        <v>665815.53954592836</v>
      </c>
      <c r="AI18" s="21">
        <f t="shared" si="38"/>
        <v>533984.06271583447</v>
      </c>
      <c r="AJ18" s="21">
        <f t="shared" si="38"/>
        <v>669148.77859077998</v>
      </c>
      <c r="AK18" s="21">
        <f t="shared" si="38"/>
        <v>670821.65053725685</v>
      </c>
      <c r="AL18" s="21">
        <f t="shared" si="38"/>
        <v>672498.70466360007</v>
      </c>
      <c r="AM18" s="21">
        <f t="shared" si="38"/>
        <v>1348359.902850518</v>
      </c>
      <c r="AN18" s="21">
        <f t="shared" si="38"/>
        <v>1013798.101955733</v>
      </c>
      <c r="AO18" s="21">
        <f t="shared" si="38"/>
        <v>677555.06480708136</v>
      </c>
      <c r="AP18" s="21">
        <f t="shared" si="38"/>
        <v>543399.16197527933</v>
      </c>
      <c r="AQ18" s="21">
        <f t="shared" si="38"/>
        <v>680947.07485027181</v>
      </c>
      <c r="AR18" s="21">
        <f t="shared" si="38"/>
        <v>682649.44253739738</v>
      </c>
      <c r="AS18" s="21">
        <f t="shared" si="38"/>
        <v>684356.06614374102</v>
      </c>
      <c r="AT18" s="21">
        <f t="shared" si="38"/>
        <v>686066.95630910026</v>
      </c>
      <c r="AU18" s="21">
        <f t="shared" si="38"/>
        <v>550225.69895989832</v>
      </c>
      <c r="AV18" s="21">
        <f t="shared" si="38"/>
        <v>689501.57900912256</v>
      </c>
      <c r="AW18" s="21">
        <f t="shared" si="38"/>
        <v>691225.33295664529</v>
      </c>
      <c r="AX18" s="21">
        <f t="shared" si="38"/>
        <v>692953.39628903684</v>
      </c>
      <c r="AY18" s="21">
        <f t="shared" si="38"/>
        <v>1389371.5595595189</v>
      </c>
      <c r="AZ18" s="21">
        <f t="shared" si="38"/>
        <v>1044633.741343813</v>
      </c>
      <c r="BA18" s="21">
        <f t="shared" si="38"/>
        <v>698163.5504647817</v>
      </c>
      <c r="BB18" s="21">
        <f t="shared" si="38"/>
        <v>559927.16747275495</v>
      </c>
      <c r="BC18" s="21">
        <f t="shared" si="38"/>
        <v>701658.73173929588</v>
      </c>
      <c r="BD18" s="21">
        <f t="shared" si="38"/>
        <v>703412.87856864417</v>
      </c>
      <c r="BE18" s="21">
        <f t="shared" si="38"/>
        <v>705171.41076506604</v>
      </c>
      <c r="BF18" s="21">
        <f t="shared" si="38"/>
        <v>706934.33929197851</v>
      </c>
      <c r="BG18" s="21">
        <f t="shared" si="38"/>
        <v>566961.34011216671</v>
      </c>
      <c r="BH18" s="21">
        <f t="shared" si="38"/>
        <v>710473.42932805885</v>
      </c>
      <c r="BI18" s="21">
        <f t="shared" si="38"/>
        <v>712249.61290137901</v>
      </c>
      <c r="BJ18" s="21">
        <f t="shared" si="38"/>
        <v>714030.2369336324</v>
      </c>
    </row>
    <row r="19" spans="1:62" s="375" customFormat="1" ht="13">
      <c r="A19" s="373" t="s">
        <v>231</v>
      </c>
      <c r="B19" s="111">
        <f>SUM(C19:BJ19)</f>
        <v>10856133.660443526</v>
      </c>
      <c r="C19" s="374">
        <f>C17*20%</f>
        <v>308111.64400000003</v>
      </c>
      <c r="D19" s="374">
        <f>D17*20%</f>
        <v>231661.44233250001</v>
      </c>
      <c r="E19" s="374">
        <f t="shared" ref="E19:BJ19" si="39">E17*20%</f>
        <v>154827.06395888753</v>
      </c>
      <c r="F19" s="374">
        <f t="shared" si="39"/>
        <v>124171.30529502778</v>
      </c>
      <c r="G19" s="374">
        <f t="shared" si="39"/>
        <v>155602.16694783163</v>
      </c>
      <c r="H19" s="374">
        <f t="shared" si="39"/>
        <v>155991.17236520123</v>
      </c>
      <c r="I19" s="374">
        <f t="shared" si="39"/>
        <v>156381.15029611424</v>
      </c>
      <c r="J19" s="374">
        <f t="shared" si="39"/>
        <v>156772.10317185451</v>
      </c>
      <c r="K19" s="374">
        <f t="shared" si="39"/>
        <v>125731.22674382734</v>
      </c>
      <c r="L19" s="374">
        <f t="shared" si="39"/>
        <v>157556.94351335862</v>
      </c>
      <c r="M19" s="374">
        <f t="shared" si="39"/>
        <v>157950.83587214199</v>
      </c>
      <c r="N19" s="374">
        <f t="shared" si="39"/>
        <v>158345.71296182234</v>
      </c>
      <c r="O19" s="374">
        <f t="shared" si="39"/>
        <v>317483.15448845382</v>
      </c>
      <c r="P19" s="374">
        <f t="shared" si="39"/>
        <v>238707.64678100613</v>
      </c>
      <c r="Q19" s="374">
        <f t="shared" si="39"/>
        <v>159536.27726530575</v>
      </c>
      <c r="R19" s="374">
        <f t="shared" si="39"/>
        <v>127948.09436677523</v>
      </c>
      <c r="S19" s="374">
        <f t="shared" si="39"/>
        <v>160334.95575336518</v>
      </c>
      <c r="T19" s="374">
        <f t="shared" si="39"/>
        <v>160735.79314274856</v>
      </c>
      <c r="U19" s="374">
        <f t="shared" si="39"/>
        <v>161137.63262560545</v>
      </c>
      <c r="V19" s="374">
        <f t="shared" si="39"/>
        <v>161540.47670716944</v>
      </c>
      <c r="W19" s="374">
        <f t="shared" si="39"/>
        <v>129555.4623191499</v>
      </c>
      <c r="X19" s="374">
        <f t="shared" si="39"/>
        <v>162349.18871868469</v>
      </c>
      <c r="Y19" s="374">
        <f t="shared" si="39"/>
        <v>162755.06169048138</v>
      </c>
      <c r="Z19" s="374">
        <f t="shared" si="39"/>
        <v>163161.94934470757</v>
      </c>
      <c r="AA19" s="374">
        <f t="shared" si="39"/>
        <v>327139.7084361387</v>
      </c>
      <c r="AB19" s="374">
        <f t="shared" si="39"/>
        <v>245968.16828042181</v>
      </c>
      <c r="AC19" s="374">
        <f t="shared" si="39"/>
        <v>164388.72580074851</v>
      </c>
      <c r="AD19" s="374">
        <f t="shared" si="39"/>
        <v>131839.75809220035</v>
      </c>
      <c r="AE19" s="374">
        <f t="shared" si="39"/>
        <v>165211.6968592885</v>
      </c>
      <c r="AF19" s="374">
        <f t="shared" si="39"/>
        <v>165624.72610143677</v>
      </c>
      <c r="AG19" s="374">
        <f t="shared" si="39"/>
        <v>166038.78791669037</v>
      </c>
      <c r="AH19" s="374">
        <f t="shared" si="39"/>
        <v>166453.88488648209</v>
      </c>
      <c r="AI19" s="374">
        <f t="shared" si="39"/>
        <v>133496.01567895862</v>
      </c>
      <c r="AJ19" s="374">
        <f t="shared" si="39"/>
        <v>167287.19464769503</v>
      </c>
      <c r="AK19" s="374">
        <f t="shared" si="39"/>
        <v>167705.41263431424</v>
      </c>
      <c r="AL19" s="374">
        <f t="shared" si="39"/>
        <v>168124.67616590002</v>
      </c>
      <c r="AM19" s="374">
        <f t="shared" si="39"/>
        <v>337089.9757126295</v>
      </c>
      <c r="AN19" s="374">
        <f t="shared" si="39"/>
        <v>253449.52548893329</v>
      </c>
      <c r="AO19" s="374">
        <f t="shared" si="39"/>
        <v>169388.76620177037</v>
      </c>
      <c r="AP19" s="374">
        <f t="shared" si="39"/>
        <v>135849.79049381983</v>
      </c>
      <c r="AQ19" s="374">
        <f t="shared" si="39"/>
        <v>170236.76871256798</v>
      </c>
      <c r="AR19" s="374">
        <f t="shared" si="39"/>
        <v>170662.36063434937</v>
      </c>
      <c r="AS19" s="374">
        <f t="shared" si="39"/>
        <v>171089.01653593525</v>
      </c>
      <c r="AT19" s="374">
        <f t="shared" si="39"/>
        <v>171516.73907727507</v>
      </c>
      <c r="AU19" s="374">
        <f t="shared" si="39"/>
        <v>137556.42473997458</v>
      </c>
      <c r="AV19" s="374">
        <f t="shared" si="39"/>
        <v>172375.39475228067</v>
      </c>
      <c r="AW19" s="374">
        <f t="shared" si="39"/>
        <v>172806.33323916132</v>
      </c>
      <c r="AX19" s="374">
        <f t="shared" si="39"/>
        <v>173238.34907225924</v>
      </c>
      <c r="AY19" s="374">
        <f t="shared" si="39"/>
        <v>347342.88988987973</v>
      </c>
      <c r="AZ19" s="374">
        <f t="shared" si="39"/>
        <v>261158.43533595325</v>
      </c>
      <c r="BA19" s="374">
        <f t="shared" si="39"/>
        <v>174540.88761619545</v>
      </c>
      <c r="BB19" s="374">
        <f t="shared" si="39"/>
        <v>139981.79186818874</v>
      </c>
      <c r="BC19" s="374">
        <f t="shared" si="39"/>
        <v>175414.682934824</v>
      </c>
      <c r="BD19" s="374">
        <f t="shared" si="39"/>
        <v>175853.21964216104</v>
      </c>
      <c r="BE19" s="374">
        <f t="shared" si="39"/>
        <v>176292.85269126651</v>
      </c>
      <c r="BF19" s="374">
        <f t="shared" si="39"/>
        <v>176733.58482299466</v>
      </c>
      <c r="BG19" s="374">
        <f t="shared" si="39"/>
        <v>141740.33502804168</v>
      </c>
      <c r="BH19" s="374">
        <f t="shared" si="39"/>
        <v>177618.35733201471</v>
      </c>
      <c r="BI19" s="374">
        <f t="shared" si="39"/>
        <v>178062.40322534475</v>
      </c>
      <c r="BJ19" s="374">
        <f t="shared" si="39"/>
        <v>178507.5592334081</v>
      </c>
    </row>
    <row r="20" spans="1:62" s="9" customFormat="1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62" s="9" customFormat="1">
      <c r="A21" s="12" t="s">
        <v>232</v>
      </c>
      <c r="B21" s="12"/>
      <c r="C21" s="322">
        <v>1.006</v>
      </c>
      <c r="D21" s="322">
        <f>C21*(1+0.03/12)</f>
        <v>1.0085150000000001</v>
      </c>
      <c r="E21" s="322">
        <f>D21*(1+0.03/12)</f>
        <v>1.0110362875000001</v>
      </c>
      <c r="F21" s="322">
        <f t="shared" ref="F21:AL21" si="40">E21*(1+0.03/12)</f>
        <v>1.0135638782187499</v>
      </c>
      <c r="G21" s="322">
        <f t="shared" si="40"/>
        <v>1.0160977879142967</v>
      </c>
      <c r="H21" s="322">
        <f t="shared" si="40"/>
        <v>1.0186380323840825</v>
      </c>
      <c r="I21" s="322">
        <f t="shared" si="40"/>
        <v>1.0211846274650427</v>
      </c>
      <c r="J21" s="322">
        <f t="shared" si="40"/>
        <v>1.0237375890337053</v>
      </c>
      <c r="K21" s="322">
        <f t="shared" si="40"/>
        <v>1.0262969330062894</v>
      </c>
      <c r="L21" s="322">
        <f t="shared" si="40"/>
        <v>1.028862675338805</v>
      </c>
      <c r="M21" s="322">
        <f t="shared" si="40"/>
        <v>1.031434832027152</v>
      </c>
      <c r="N21" s="322">
        <f t="shared" si="40"/>
        <v>1.0340134191072199</v>
      </c>
      <c r="O21" s="322">
        <f t="shared" si="40"/>
        <v>1.0365984526549878</v>
      </c>
      <c r="P21" s="322">
        <f>O21*(1+0.03/12)</f>
        <v>1.0391899487866252</v>
      </c>
      <c r="Q21" s="322">
        <f t="shared" si="40"/>
        <v>1.0417879236585916</v>
      </c>
      <c r="R21" s="322">
        <f t="shared" si="40"/>
        <v>1.0443923934677382</v>
      </c>
      <c r="S21" s="322">
        <f t="shared" si="40"/>
        <v>1.0470033744514073</v>
      </c>
      <c r="T21" s="322">
        <f t="shared" si="40"/>
        <v>1.0496208828875357</v>
      </c>
      <c r="U21" s="322">
        <f t="shared" si="40"/>
        <v>1.0522449350947545</v>
      </c>
      <c r="V21" s="322">
        <f t="shared" si="40"/>
        <v>1.0548755474324913</v>
      </c>
      <c r="W21" s="322">
        <f t="shared" si="40"/>
        <v>1.0575127363010726</v>
      </c>
      <c r="X21" s="322">
        <f t="shared" si="40"/>
        <v>1.0601565181418251</v>
      </c>
      <c r="Y21" s="322">
        <f t="shared" si="40"/>
        <v>1.0628069094371797</v>
      </c>
      <c r="Z21" s="322">
        <f t="shared" si="40"/>
        <v>1.0654639267107726</v>
      </c>
      <c r="AA21" s="322">
        <f t="shared" si="40"/>
        <v>1.0681275865275495</v>
      </c>
      <c r="AB21" s="322">
        <f t="shared" si="40"/>
        <v>1.0707979054938683</v>
      </c>
      <c r="AC21" s="322">
        <f t="shared" si="40"/>
        <v>1.0734749002576029</v>
      </c>
      <c r="AD21" s="322">
        <f t="shared" si="40"/>
        <v>1.0761585875082469</v>
      </c>
      <c r="AE21" s="322">
        <f t="shared" si="40"/>
        <v>1.0788489839770175</v>
      </c>
      <c r="AF21" s="322">
        <f t="shared" si="40"/>
        <v>1.08154610643696</v>
      </c>
      <c r="AG21" s="322">
        <f t="shared" si="40"/>
        <v>1.0842499717030525</v>
      </c>
      <c r="AH21" s="322">
        <f t="shared" si="40"/>
        <v>1.0869605966323101</v>
      </c>
      <c r="AI21" s="322">
        <f t="shared" si="40"/>
        <v>1.0896779981238909</v>
      </c>
      <c r="AJ21" s="322">
        <f t="shared" si="40"/>
        <v>1.0924021931192005</v>
      </c>
      <c r="AK21" s="322">
        <f t="shared" si="40"/>
        <v>1.0951331986019985</v>
      </c>
      <c r="AL21" s="322">
        <f t="shared" si="40"/>
        <v>1.0978710315985034</v>
      </c>
      <c r="AM21" s="322">
        <f t="shared" ref="AM21" si="41">AL21*(1+0.03/12)</f>
        <v>1.1006157091774995</v>
      </c>
      <c r="AN21" s="322">
        <f t="shared" ref="AN21" si="42">AM21*(1+0.03/12)</f>
        <v>1.1033672484504431</v>
      </c>
      <c r="AO21" s="322">
        <f t="shared" ref="AO21" si="43">AN21*(1+0.03/12)</f>
        <v>1.1061256665715691</v>
      </c>
      <c r="AP21" s="322">
        <f t="shared" ref="AP21" si="44">AO21*(1+0.03/12)</f>
        <v>1.1088909807379979</v>
      </c>
      <c r="AQ21" s="322">
        <f t="shared" ref="AQ21" si="45">AP21*(1+0.03/12)</f>
        <v>1.1116632081898428</v>
      </c>
      <c r="AR21" s="322">
        <f t="shared" ref="AR21" si="46">AQ21*(1+0.03/12)</f>
        <v>1.1144423662103173</v>
      </c>
      <c r="AS21" s="322">
        <f t="shared" ref="AS21" si="47">AR21*(1+0.03/12)</f>
        <v>1.117228472125843</v>
      </c>
      <c r="AT21" s="322">
        <f t="shared" ref="AT21" si="48">AS21*(1+0.03/12)</f>
        <v>1.1200215433061576</v>
      </c>
      <c r="AU21" s="322">
        <f t="shared" ref="AU21" si="49">AT21*(1+0.03/12)</f>
        <v>1.1228215971644229</v>
      </c>
      <c r="AV21" s="322">
        <f t="shared" ref="AV21" si="50">AU21*(1+0.03/12)</f>
        <v>1.1256286511573339</v>
      </c>
      <c r="AW21" s="322">
        <f t="shared" ref="AW21" si="51">AV21*(1+0.03/12)</f>
        <v>1.1284427227852272</v>
      </c>
      <c r="AX21" s="322">
        <f t="shared" ref="AX21" si="52">AW21*(1+0.03/12)</f>
        <v>1.1312638295921902</v>
      </c>
      <c r="AY21" s="322">
        <f t="shared" ref="AY21" si="53">AX21*(1+0.03/12)</f>
        <v>1.1340919891661705</v>
      </c>
      <c r="AZ21" s="322">
        <f t="shared" ref="AZ21" si="54">AY21*(1+0.03/12)</f>
        <v>1.1369272191390858</v>
      </c>
      <c r="BA21" s="322">
        <f t="shared" ref="BA21" si="55">AZ21*(1+0.03/12)</f>
        <v>1.1397695371869334</v>
      </c>
      <c r="BB21" s="322">
        <f t="shared" ref="BB21" si="56">BA21*(1+0.03/12)</f>
        <v>1.1426189610299007</v>
      </c>
      <c r="BC21" s="322">
        <f t="shared" ref="BC21" si="57">BB21*(1+0.03/12)</f>
        <v>1.1454755084324755</v>
      </c>
      <c r="BD21" s="322">
        <f t="shared" ref="BD21" si="58">BC21*(1+0.03/12)</f>
        <v>1.1483391972035566</v>
      </c>
      <c r="BE21" s="322">
        <f t="shared" ref="BE21" si="59">BD21*(1+0.03/12)</f>
        <v>1.1512100451965654</v>
      </c>
      <c r="BF21" s="322">
        <f t="shared" ref="BF21" si="60">BE21*(1+0.03/12)</f>
        <v>1.1540880703095568</v>
      </c>
      <c r="BG21" s="322">
        <f t="shared" ref="BG21" si="61">BF21*(1+0.03/12)</f>
        <v>1.1569732904853307</v>
      </c>
      <c r="BH21" s="322">
        <f t="shared" ref="BH21" si="62">BG21*(1+0.03/12)</f>
        <v>1.159865723711544</v>
      </c>
      <c r="BI21" s="322">
        <f t="shared" ref="BI21" si="63">BH21*(1+0.03/12)</f>
        <v>1.1627653880208229</v>
      </c>
      <c r="BJ21" s="322">
        <f t="shared" ref="BJ21" si="64">BI21*(1+0.03/12)</f>
        <v>1.1656723014908748</v>
      </c>
    </row>
    <row r="22" spans="1:62" s="9" customFormat="1">
      <c r="A22" s="12" t="s">
        <v>233</v>
      </c>
      <c r="B22" s="12"/>
      <c r="C22" s="321">
        <v>2</v>
      </c>
      <c r="D22" s="321">
        <v>1.5</v>
      </c>
      <c r="E22" s="321">
        <v>1</v>
      </c>
      <c r="F22" s="321">
        <v>0.8</v>
      </c>
      <c r="G22" s="321">
        <v>1</v>
      </c>
      <c r="H22" s="321">
        <v>1</v>
      </c>
      <c r="I22" s="321">
        <v>1</v>
      </c>
      <c r="J22" s="321">
        <v>1</v>
      </c>
      <c r="K22" s="321">
        <v>0.8</v>
      </c>
      <c r="L22" s="321">
        <v>1</v>
      </c>
      <c r="M22" s="321">
        <v>1</v>
      </c>
      <c r="N22" s="321">
        <v>1</v>
      </c>
      <c r="O22" s="321">
        <v>2</v>
      </c>
      <c r="P22" s="321">
        <v>1.5</v>
      </c>
      <c r="Q22" s="321">
        <v>1</v>
      </c>
      <c r="R22" s="321">
        <v>0.8</v>
      </c>
      <c r="S22" s="321">
        <v>1</v>
      </c>
      <c r="T22" s="321">
        <v>1</v>
      </c>
      <c r="U22" s="321">
        <v>1</v>
      </c>
      <c r="V22" s="321">
        <v>1</v>
      </c>
      <c r="W22" s="321">
        <v>0.8</v>
      </c>
      <c r="X22" s="321">
        <v>1</v>
      </c>
      <c r="Y22" s="321">
        <v>1</v>
      </c>
      <c r="Z22" s="321">
        <v>1</v>
      </c>
      <c r="AA22" s="321">
        <v>2</v>
      </c>
      <c r="AB22" s="321">
        <v>1.5</v>
      </c>
      <c r="AC22" s="321">
        <v>1</v>
      </c>
      <c r="AD22" s="321">
        <v>0.8</v>
      </c>
      <c r="AE22" s="321">
        <v>1</v>
      </c>
      <c r="AF22" s="321">
        <v>1</v>
      </c>
      <c r="AG22" s="321">
        <v>1</v>
      </c>
      <c r="AH22" s="321">
        <v>1</v>
      </c>
      <c r="AI22" s="321">
        <v>0.8</v>
      </c>
      <c r="AJ22" s="321">
        <v>1</v>
      </c>
      <c r="AK22" s="321">
        <v>1</v>
      </c>
      <c r="AL22" s="321">
        <v>1</v>
      </c>
      <c r="AM22" s="9">
        <v>2</v>
      </c>
      <c r="AN22" s="9">
        <v>1.5</v>
      </c>
      <c r="AO22" s="9">
        <v>1</v>
      </c>
      <c r="AP22" s="9">
        <v>0.8</v>
      </c>
      <c r="AQ22" s="9">
        <v>1</v>
      </c>
      <c r="AR22" s="9">
        <v>1</v>
      </c>
      <c r="AS22" s="9">
        <v>1</v>
      </c>
      <c r="AT22" s="9">
        <v>1</v>
      </c>
      <c r="AU22" s="9">
        <v>0.8</v>
      </c>
      <c r="AV22" s="9">
        <v>1</v>
      </c>
      <c r="AW22" s="9">
        <v>1</v>
      </c>
      <c r="AX22" s="9">
        <v>1</v>
      </c>
      <c r="AY22" s="9">
        <v>2</v>
      </c>
      <c r="AZ22" s="9">
        <v>1.5</v>
      </c>
      <c r="BA22" s="9">
        <v>1</v>
      </c>
      <c r="BB22" s="9">
        <v>0.8</v>
      </c>
      <c r="BC22" s="9">
        <v>1</v>
      </c>
      <c r="BD22" s="9">
        <v>1</v>
      </c>
      <c r="BE22" s="9">
        <v>1</v>
      </c>
      <c r="BF22" s="9">
        <v>1</v>
      </c>
      <c r="BG22" s="9">
        <v>0.8</v>
      </c>
      <c r="BH22" s="9">
        <v>1</v>
      </c>
      <c r="BI22" s="9">
        <v>1</v>
      </c>
      <c r="BJ22" s="9">
        <v>1</v>
      </c>
    </row>
    <row r="23" spans="1:62" s="9" customFormat="1">
      <c r="A23" s="12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62" s="9" customFormat="1" ht="11.25" customHeight="1">
      <c r="A24" s="12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62" s="6" customFormat="1" ht="11.25" customHeight="1">
      <c r="A25" s="8"/>
      <c r="B25" s="8"/>
      <c r="C25" s="8"/>
      <c r="D25" s="8"/>
      <c r="E25" s="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</row>
    <row r="26" spans="1:62" s="6" customFormat="1" ht="18">
      <c r="A26" s="28" t="s">
        <v>235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</row>
    <row r="27" spans="1:62" ht="9.75" customHeight="1">
      <c r="A27" s="8"/>
      <c r="B27" s="8"/>
      <c r="C27" s="8"/>
      <c r="D27" s="8"/>
      <c r="E27" s="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</row>
    <row r="28" spans="1:62">
      <c r="C28" s="8"/>
      <c r="D28" s="8"/>
    </row>
    <row r="29" spans="1:62" s="336" customFormat="1">
      <c r="A29" s="337"/>
      <c r="B29" s="338" t="s">
        <v>236</v>
      </c>
      <c r="C29" s="338" t="s">
        <v>237</v>
      </c>
      <c r="D29" s="337" t="s">
        <v>238</v>
      </c>
      <c r="G29" s="336" t="s">
        <v>138</v>
      </c>
      <c r="H29" s="336" t="s">
        <v>139</v>
      </c>
    </row>
    <row r="30" spans="1:62" s="336" customFormat="1">
      <c r="A30" s="399" t="str">
        <f t="shared" ref="A30:A37" si="65">A6</f>
        <v>Екскурсії</v>
      </c>
      <c r="B30" s="400">
        <v>205</v>
      </c>
      <c r="C30" s="334"/>
      <c r="D30" s="335">
        <v>2157</v>
      </c>
      <c r="E30" s="357"/>
      <c r="G30" s="334">
        <f>B30*'Анализ чувствительности'!$C$108</f>
        <v>205</v>
      </c>
      <c r="H30" s="335">
        <f>D30*'Анализ чувствительности'!$C$109</f>
        <v>2157</v>
      </c>
      <c r="J30" s="371"/>
    </row>
    <row r="31" spans="1:62" s="336" customFormat="1">
      <c r="A31" s="399" t="str">
        <f t="shared" si="65"/>
        <v>Квест кімната</v>
      </c>
      <c r="B31" s="400">
        <v>1230</v>
      </c>
      <c r="C31" s="334"/>
      <c r="D31" s="335">
        <v>100</v>
      </c>
      <c r="E31" s="357"/>
      <c r="G31" s="334">
        <f>B31*'Анализ чувствительности'!$C$108</f>
        <v>1230</v>
      </c>
      <c r="H31" s="335">
        <f>D31*'Анализ чувствительности'!$C$109</f>
        <v>100</v>
      </c>
      <c r="J31" s="371"/>
    </row>
    <row r="32" spans="1:62" s="336" customFormat="1">
      <c r="A32" s="399" t="str">
        <f t="shared" si="65"/>
        <v>Магніти</v>
      </c>
      <c r="B32" s="400">
        <v>40</v>
      </c>
      <c r="C32" s="334"/>
      <c r="D32" s="335">
        <v>200</v>
      </c>
      <c r="E32" s="357"/>
      <c r="G32" s="334">
        <f>B32*'Анализ чувствительности'!$C$108</f>
        <v>40</v>
      </c>
      <c r="H32" s="335">
        <f>D32*'Анализ чувствительности'!$C$109</f>
        <v>200</v>
      </c>
    </row>
    <row r="33" spans="1:10" s="336" customFormat="1">
      <c r="A33" s="399" t="str">
        <f t="shared" si="65"/>
        <v>Фото</v>
      </c>
      <c r="B33" s="400">
        <v>60</v>
      </c>
      <c r="C33" s="334"/>
      <c r="D33" s="335">
        <v>150</v>
      </c>
      <c r="E33" s="357"/>
      <c r="G33" s="334">
        <f>B33*'Анализ чувствительности'!$C$108</f>
        <v>60</v>
      </c>
      <c r="H33" s="335">
        <f>D33*'Анализ чувствительности'!$C$109</f>
        <v>150</v>
      </c>
    </row>
    <row r="34" spans="1:10" s="336" customFormat="1">
      <c r="A34" s="399" t="str">
        <f t="shared" si="65"/>
        <v>Відео</v>
      </c>
      <c r="B34" s="400">
        <v>100</v>
      </c>
      <c r="C34" s="334"/>
      <c r="D34" s="335">
        <v>100</v>
      </c>
      <c r="E34" s="357"/>
      <c r="G34" s="334">
        <f>B34*'Анализ чувствительности'!$C$108</f>
        <v>100</v>
      </c>
      <c r="H34" s="335">
        <f>D34*'Анализ чувствительности'!$C$109</f>
        <v>100</v>
      </c>
    </row>
    <row r="35" spans="1:10" s="336" customFormat="1">
      <c r="A35" s="399" t="str">
        <f t="shared" si="65"/>
        <v>Брелки</v>
      </c>
      <c r="B35" s="400">
        <v>50</v>
      </c>
      <c r="C35" s="334"/>
      <c r="D35" s="335">
        <v>200</v>
      </c>
      <c r="E35" s="357"/>
      <c r="G35" s="334">
        <f>B35*'Анализ чувствительности'!$C$108</f>
        <v>50</v>
      </c>
      <c r="H35" s="335">
        <f>D35*'Анализ чувствительности'!$C$109</f>
        <v>200</v>
      </c>
    </row>
    <row r="36" spans="1:10" s="336" customFormat="1">
      <c r="A36" s="399" t="str">
        <f t="shared" si="65"/>
        <v>Листівки</v>
      </c>
      <c r="B36" s="400">
        <v>35</v>
      </c>
      <c r="C36" s="334"/>
      <c r="D36" s="335">
        <v>150</v>
      </c>
      <c r="E36" s="357"/>
      <c r="G36" s="334">
        <f>B36*'Анализ чувствительности'!$C$108</f>
        <v>35</v>
      </c>
      <c r="H36" s="335">
        <f>D36*'Анализ чувствительности'!$C$109</f>
        <v>150</v>
      </c>
    </row>
    <row r="37" spans="1:10" ht="14.75" customHeight="1">
      <c r="A37" s="399" t="str">
        <f t="shared" si="65"/>
        <v>Тематичні вечірки</v>
      </c>
      <c r="B37" s="401">
        <v>12500</v>
      </c>
      <c r="C37" s="378"/>
      <c r="D37" s="379">
        <v>2</v>
      </c>
      <c r="E37" s="341"/>
      <c r="G37" s="334">
        <f>B37*'Анализ чувствительности'!$C$108</f>
        <v>12500</v>
      </c>
      <c r="H37" s="335">
        <f>D37*'Анализ чувствительности'!$C$109</f>
        <v>2</v>
      </c>
      <c r="J37" s="7">
        <f>150/20</f>
        <v>7.5</v>
      </c>
    </row>
    <row r="38" spans="1:10" ht="14.75" customHeight="1">
      <c r="A38" s="323" t="s">
        <v>321</v>
      </c>
      <c r="B38" s="342">
        <v>205</v>
      </c>
      <c r="C38" s="341"/>
      <c r="D38" s="397">
        <v>650</v>
      </c>
      <c r="E38" s="341"/>
      <c r="G38" s="334">
        <f>B38*'Анализ чувствительности'!$C$108</f>
        <v>205</v>
      </c>
      <c r="H38" s="335">
        <f>D38*'Анализ чувствительности'!$C$109</f>
        <v>650</v>
      </c>
    </row>
    <row r="39" spans="1:10" ht="14.75" customHeight="1">
      <c r="A39" s="216"/>
      <c r="B39" s="342"/>
      <c r="C39" s="341"/>
      <c r="D39" s="341"/>
      <c r="E39" s="341"/>
    </row>
    <row r="40" spans="1:10" ht="14.75" customHeight="1">
      <c r="A40" s="216"/>
      <c r="B40" s="342"/>
      <c r="C40" s="341"/>
      <c r="D40" s="341"/>
      <c r="E40" s="341"/>
    </row>
    <row r="41" spans="1:10">
      <c r="A41" s="216"/>
      <c r="B41" s="342"/>
      <c r="C41" s="341"/>
      <c r="D41" s="341"/>
      <c r="E41" s="341"/>
    </row>
    <row r="42" spans="1:10" ht="18">
      <c r="A42" s="32" t="s">
        <v>35</v>
      </c>
      <c r="B42" s="32"/>
      <c r="C42" s="339"/>
      <c r="D42" s="340"/>
      <c r="E42" s="340"/>
    </row>
    <row r="45" spans="1:10">
      <c r="A45" s="25" t="s">
        <v>2</v>
      </c>
      <c r="B45" s="103" t="s">
        <v>0</v>
      </c>
      <c r="C45" s="26" t="s">
        <v>154</v>
      </c>
      <c r="D45" s="26" t="s">
        <v>155</v>
      </c>
      <c r="E45" s="26" t="s">
        <v>156</v>
      </c>
      <c r="F45" s="26" t="s">
        <v>326</v>
      </c>
      <c r="G45" s="26" t="s">
        <v>327</v>
      </c>
    </row>
    <row r="46" spans="1:10" hidden="1">
      <c r="A46" s="259"/>
      <c r="B46" s="111"/>
      <c r="C46" s="100"/>
      <c r="D46" s="100"/>
      <c r="E46" s="100"/>
      <c r="F46" s="100"/>
      <c r="G46" s="100"/>
    </row>
    <row r="47" spans="1:10" hidden="1">
      <c r="A47" s="259"/>
      <c r="B47" s="111"/>
      <c r="C47" s="100"/>
      <c r="D47" s="100"/>
      <c r="E47" s="100"/>
      <c r="F47" s="100"/>
      <c r="G47" s="100"/>
    </row>
    <row r="48" spans="1:10" hidden="1">
      <c r="A48" s="259"/>
      <c r="B48" s="111"/>
      <c r="C48" s="100"/>
      <c r="D48" s="100"/>
      <c r="E48" s="100"/>
      <c r="F48" s="100"/>
      <c r="G48" s="100"/>
    </row>
    <row r="49" spans="1:7" hidden="1">
      <c r="A49" s="259"/>
      <c r="B49" s="111"/>
      <c r="C49" s="100"/>
      <c r="D49" s="100"/>
      <c r="E49" s="100"/>
      <c r="F49" s="100"/>
      <c r="G49" s="100"/>
    </row>
    <row r="50" spans="1:7" hidden="1">
      <c r="A50" s="259"/>
      <c r="B50" s="111"/>
      <c r="C50" s="100"/>
      <c r="D50" s="100"/>
      <c r="E50" s="100"/>
      <c r="F50" s="100"/>
      <c r="G50" s="100"/>
    </row>
    <row r="51" spans="1:7">
      <c r="A51" s="259" t="str">
        <f>A6</f>
        <v>Екскурсії</v>
      </c>
      <c r="B51" s="111">
        <f t="shared" ref="B51:B60" si="66">SUM(C51:G51)</f>
        <v>31347221.524799488</v>
      </c>
      <c r="C51" s="100">
        <f>SUM(C6:N6)</f>
        <v>5899484.7569736019</v>
      </c>
      <c r="D51" s="100">
        <f>SUM(O6:Z6)</f>
        <v>6078923.2311535999</v>
      </c>
      <c r="E51" s="100">
        <f>SUM(AA6:AL6)</f>
        <v>6263819.4982328834</v>
      </c>
      <c r="F51" s="100">
        <f>SUM(AM6:AX6)</f>
        <v>6454339.5622051163</v>
      </c>
      <c r="G51" s="100">
        <f>SUM(AY6:BJ6)</f>
        <v>6650654.4762342889</v>
      </c>
    </row>
    <row r="52" spans="1:7">
      <c r="A52" s="259" t="str">
        <f>A7</f>
        <v>Квест кімната</v>
      </c>
      <c r="B52" s="111">
        <f t="shared" si="66"/>
        <v>8719672.1904866472</v>
      </c>
      <c r="C52" s="100">
        <f>SUM(C7:N7)</f>
        <v>1641024.9671692913</v>
      </c>
      <c r="D52" s="100">
        <f>SUM(O7:Z7)</f>
        <v>1690938.3118647009</v>
      </c>
      <c r="E52" s="100">
        <f>SUM(AA7:AL7)</f>
        <v>1742369.8187017757</v>
      </c>
      <c r="F52" s="100">
        <f>SUM(AM7:AX7)</f>
        <v>1795365.6640348032</v>
      </c>
      <c r="G52" s="100">
        <f>SUM(AY7:BJ7)</f>
        <v>1849973.4287160747</v>
      </c>
    </row>
    <row r="53" spans="1:7">
      <c r="A53" s="259" t="str">
        <f>A9</f>
        <v>Фото</v>
      </c>
      <c r="B53" s="111">
        <f t="shared" si="66"/>
        <v>638024.79442585213</v>
      </c>
      <c r="C53" s="100">
        <f>SUM(C9:N9)</f>
        <v>120074.99759775304</v>
      </c>
      <c r="D53" s="100">
        <f>SUM(O9:Z9)</f>
        <v>123727.19355107567</v>
      </c>
      <c r="E53" s="100">
        <f>SUM(AA9:AL9)</f>
        <v>127490.47453915431</v>
      </c>
      <c r="F53" s="100">
        <f>SUM(AM9:AX9)</f>
        <v>131368.2193196197</v>
      </c>
      <c r="G53" s="100">
        <f>SUM(AY9:BJ9)</f>
        <v>135363.90941824936</v>
      </c>
    </row>
    <row r="54" spans="1:7">
      <c r="A54" s="259" t="str">
        <f>A10</f>
        <v>Відео</v>
      </c>
      <c r="B54" s="111">
        <f t="shared" si="66"/>
        <v>708916.43825094681</v>
      </c>
      <c r="C54" s="100">
        <f>SUM(C10:N10)</f>
        <v>133416.66399750335</v>
      </c>
      <c r="D54" s="100">
        <f>SUM(O10:Z10)</f>
        <v>137474.65950119522</v>
      </c>
      <c r="E54" s="100">
        <f>SUM(AA10:AL10)</f>
        <v>141656.08282128259</v>
      </c>
      <c r="F54" s="100">
        <f>SUM(AM10:AX10)</f>
        <v>145964.68813291081</v>
      </c>
      <c r="G54" s="100">
        <f>SUM(AY10:BJ10)</f>
        <v>150404.34379805485</v>
      </c>
    </row>
    <row r="55" spans="1:7">
      <c r="A55" s="259" t="str">
        <f>A11</f>
        <v>Брелки</v>
      </c>
      <c r="B55" s="111">
        <f t="shared" si="66"/>
        <v>697647.63701289287</v>
      </c>
      <c r="C55" s="100">
        <f>SUM(C11:N11)</f>
        <v>133416.66399750335</v>
      </c>
      <c r="D55" s="100">
        <f>SUM(O11:Z11)</f>
        <v>137474.65950119522</v>
      </c>
      <c r="E55" s="100">
        <f>SUM(AA11:AL11)</f>
        <v>141656.08282128259</v>
      </c>
      <c r="F55" s="100">
        <f t="shared" ref="F55:G55" si="67">SUM(AB11:AM11)</f>
        <v>142305.84527428157</v>
      </c>
      <c r="G55" s="100">
        <f t="shared" si="67"/>
        <v>142794.38541863021</v>
      </c>
    </row>
    <row r="56" spans="1:7">
      <c r="A56" s="259" t="str">
        <f>A12</f>
        <v>Листівки</v>
      </c>
      <c r="B56" s="111">
        <f t="shared" si="66"/>
        <v>366265.00943176879</v>
      </c>
      <c r="C56" s="100">
        <f>SUM(C12:N12)</f>
        <v>70043.748598689257</v>
      </c>
      <c r="D56" s="100">
        <f>SUM(O12:Z12)</f>
        <v>72174.196238127479</v>
      </c>
      <c r="E56" s="100">
        <f>SUM(AA12:AL12)</f>
        <v>74369.443481173352</v>
      </c>
      <c r="F56" s="100">
        <f t="shared" ref="F56:G56" si="68">SUM(AB12:AM12)</f>
        <v>74710.568768997822</v>
      </c>
      <c r="G56" s="100">
        <f t="shared" si="68"/>
        <v>74967.052344780852</v>
      </c>
    </row>
    <row r="57" spans="1:7">
      <c r="A57" s="259" t="str">
        <f>A13</f>
        <v>Тематичні вечірки</v>
      </c>
      <c r="B57" s="111">
        <f t="shared" si="66"/>
        <v>1744119.0925322324</v>
      </c>
      <c r="C57" s="100">
        <f>SUM(C13:N13)</f>
        <v>333541.65999375843</v>
      </c>
      <c r="D57" s="100">
        <f>SUM(O13:Z13)</f>
        <v>343686.64875298797</v>
      </c>
      <c r="E57" s="100">
        <f>SUM(AA13:AL13)</f>
        <v>354140.2070532064</v>
      </c>
      <c r="F57" s="100">
        <f t="shared" ref="F57:G57" si="69">SUM(AB13:AM13)</f>
        <v>355764.61318570399</v>
      </c>
      <c r="G57" s="100">
        <f t="shared" si="69"/>
        <v>356985.96354657551</v>
      </c>
    </row>
    <row r="58" spans="1:7">
      <c r="A58" s="259" t="str">
        <f t="shared" ref="A58:A63" si="70">A14</f>
        <v>Онлайн екскурсії</v>
      </c>
      <c r="B58" s="111">
        <f t="shared" si="66"/>
        <v>5497194.189213749</v>
      </c>
      <c r="C58" s="100">
        <f t="shared" ref="C58:C63" si="71">SUM(C14:N14)</f>
        <v>1777777.0477667323</v>
      </c>
      <c r="D58" s="100">
        <f t="shared" ref="D58:D63" si="72">SUM(O14:Z14)</f>
        <v>1831849.8378534259</v>
      </c>
      <c r="E58" s="100">
        <f t="shared" ref="E58:E63" si="73">SUM(AA14:AL14)</f>
        <v>1887567.3035935904</v>
      </c>
      <c r="F58" s="100">
        <v>0</v>
      </c>
      <c r="G58" s="100">
        <v>0</v>
      </c>
    </row>
    <row r="59" spans="1:7">
      <c r="A59" s="259">
        <f t="shared" si="70"/>
        <v>0</v>
      </c>
      <c r="B59" s="111">
        <f t="shared" si="66"/>
        <v>0</v>
      </c>
      <c r="C59" s="100">
        <f t="shared" si="71"/>
        <v>0</v>
      </c>
      <c r="D59" s="100">
        <f t="shared" si="72"/>
        <v>0</v>
      </c>
      <c r="E59" s="100">
        <f t="shared" si="73"/>
        <v>0</v>
      </c>
      <c r="F59" s="100">
        <v>0</v>
      </c>
      <c r="G59" s="100">
        <v>0</v>
      </c>
    </row>
    <row r="60" spans="1:7">
      <c r="A60" s="259">
        <f t="shared" si="70"/>
        <v>0</v>
      </c>
      <c r="B60" s="111">
        <f t="shared" si="66"/>
        <v>0</v>
      </c>
      <c r="C60" s="100">
        <f t="shared" si="71"/>
        <v>0</v>
      </c>
      <c r="D60" s="100">
        <f t="shared" si="72"/>
        <v>0</v>
      </c>
      <c r="E60" s="100">
        <f t="shared" si="73"/>
        <v>0</v>
      </c>
      <c r="F60" s="100">
        <v>0</v>
      </c>
      <c r="G60" s="100">
        <v>0</v>
      </c>
    </row>
    <row r="61" spans="1:7">
      <c r="A61" s="20" t="str">
        <f t="shared" si="70"/>
        <v>Сумарно, в т.ч.</v>
      </c>
      <c r="B61" s="111">
        <f>SUM(C61:G61)</f>
        <v>54280668.302217625</v>
      </c>
      <c r="C61" s="100">
        <f t="shared" si="71"/>
        <v>10215513.837292837</v>
      </c>
      <c r="D61" s="100">
        <f t="shared" si="72"/>
        <v>10526228.466017265</v>
      </c>
      <c r="E61" s="100">
        <f t="shared" si="73"/>
        <v>10846393.777501376</v>
      </c>
      <c r="F61" s="100">
        <f>SUM(AM17:AX17)</f>
        <v>11176297.223304782</v>
      </c>
      <c r="G61" s="100">
        <f>SUM(AY17:BJ17)</f>
        <v>11516234.998101363</v>
      </c>
    </row>
    <row r="62" spans="1:7">
      <c r="A62" s="22" t="str">
        <f t="shared" si="70"/>
        <v>Виручка без ПДВ</v>
      </c>
      <c r="B62" s="111">
        <f>SUM(C62:G62)</f>
        <v>43424534.641774088</v>
      </c>
      <c r="C62" s="100">
        <f t="shared" si="71"/>
        <v>8172411.0698342677</v>
      </c>
      <c r="D62" s="100">
        <f t="shared" si="72"/>
        <v>8420982.7728138119</v>
      </c>
      <c r="E62" s="100">
        <f t="shared" si="73"/>
        <v>8677115.0220010988</v>
      </c>
      <c r="F62" s="100">
        <f>SUM(AM18:AX18)</f>
        <v>8941037.778643826</v>
      </c>
      <c r="G62" s="100">
        <f>SUM(AY18:BJ18)</f>
        <v>9212987.9984810892</v>
      </c>
    </row>
    <row r="63" spans="1:7">
      <c r="A63" s="22" t="str">
        <f t="shared" si="70"/>
        <v>ПДВ</v>
      </c>
      <c r="B63" s="111">
        <f>SUM(C63:G63)</f>
        <v>10856133.660443524</v>
      </c>
      <c r="C63" s="111">
        <f t="shared" si="71"/>
        <v>2043102.7674585669</v>
      </c>
      <c r="D63" s="111">
        <f t="shared" si="72"/>
        <v>2105245.6932034534</v>
      </c>
      <c r="E63" s="111">
        <f t="shared" si="73"/>
        <v>2169278.7555002747</v>
      </c>
      <c r="F63" s="111">
        <f>SUM(AM19:AX19)</f>
        <v>2235259.4446609565</v>
      </c>
      <c r="G63" s="111">
        <f>SUM(AY19:BJ19)</f>
        <v>2303246.9996202723</v>
      </c>
    </row>
    <row r="67" spans="2:7">
      <c r="B67" s="315"/>
      <c r="C67" s="315"/>
      <c r="D67" s="315"/>
      <c r="E67" s="315"/>
      <c r="F67" s="315"/>
      <c r="G67" s="315"/>
    </row>
    <row r="88" spans="2:2" ht="15">
      <c r="B88" s="273"/>
    </row>
    <row r="89" spans="2:2" ht="15">
      <c r="B89" s="273"/>
    </row>
    <row r="90" spans="2:2" ht="15">
      <c r="B90" s="273"/>
    </row>
  </sheetData>
  <mergeCells count="5">
    <mergeCell ref="AM3:AX3"/>
    <mergeCell ref="AY3:BJ3"/>
    <mergeCell ref="C3:N3"/>
    <mergeCell ref="O3:Z3"/>
    <mergeCell ref="AA3:AL3"/>
  </mergeCells>
  <phoneticPr fontId="4" type="noConversion"/>
  <conditionalFormatting sqref="B46:G63 C5:BJ19">
    <cfRule type="containsBlanks" dxfId="108" priority="8">
      <formula>LEN(TRIM(B5))=0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BJ160"/>
  <sheetViews>
    <sheetView zoomScale="97" zoomScaleNormal="97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AY17" sqref="AY17:BJ17"/>
    </sheetView>
  </sheetViews>
  <sheetFormatPr baseColWidth="10" defaultColWidth="8.6640625" defaultRowHeight="13"/>
  <cols>
    <col min="1" max="1" width="58.5" customWidth="1"/>
    <col min="2" max="2" width="19.6640625" customWidth="1"/>
    <col min="3" max="3" width="17.5" customWidth="1"/>
    <col min="4" max="4" width="17.33203125" customWidth="1"/>
    <col min="5" max="5" width="19" customWidth="1"/>
    <col min="6" max="7" width="16.5" bestFit="1" customWidth="1"/>
    <col min="8" max="8" width="17.33203125" customWidth="1"/>
    <col min="9" max="16" width="14.5" customWidth="1"/>
    <col min="17" max="62" width="15.5" customWidth="1"/>
  </cols>
  <sheetData>
    <row r="1" spans="1:62" ht="23">
      <c r="A1" s="383" t="s">
        <v>288</v>
      </c>
      <c r="B1" s="384" t="s">
        <v>290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6"/>
      <c r="W1" s="386"/>
      <c r="X1" s="386"/>
      <c r="Y1" s="386"/>
      <c r="Z1" s="386"/>
      <c r="AA1" s="386"/>
      <c r="AB1" s="386"/>
      <c r="AC1" s="386"/>
      <c r="AD1" s="387"/>
      <c r="AE1" s="387"/>
      <c r="AF1" s="387"/>
      <c r="AG1" s="387"/>
      <c r="AH1" s="387"/>
      <c r="AI1" s="387"/>
      <c r="AJ1" s="387"/>
      <c r="AK1" s="387"/>
      <c r="AL1" s="387"/>
    </row>
    <row r="2" spans="1:62" ht="13.5" customHeight="1">
      <c r="A2" s="385"/>
      <c r="B2" s="385"/>
      <c r="C2" s="442" t="s">
        <v>30</v>
      </c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 t="s">
        <v>31</v>
      </c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 t="s">
        <v>32</v>
      </c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28" t="s">
        <v>33</v>
      </c>
      <c r="AN2" s="428"/>
      <c r="AO2" s="428"/>
      <c r="AP2" s="428"/>
      <c r="AQ2" s="428"/>
      <c r="AR2" s="428"/>
      <c r="AS2" s="428"/>
      <c r="AT2" s="428"/>
      <c r="AU2" s="428"/>
      <c r="AV2" s="428"/>
      <c r="AW2" s="428"/>
      <c r="AX2" s="428"/>
      <c r="AY2" s="429" t="s">
        <v>34</v>
      </c>
      <c r="AZ2" s="429"/>
      <c r="BA2" s="429"/>
      <c r="BB2" s="429"/>
      <c r="BC2" s="429"/>
      <c r="BD2" s="429"/>
      <c r="BE2" s="429"/>
      <c r="BF2" s="429"/>
      <c r="BG2" s="429"/>
      <c r="BH2" s="429"/>
      <c r="BI2" s="429"/>
      <c r="BJ2" s="429"/>
    </row>
    <row r="3" spans="1:62">
      <c r="A3" s="388" t="s">
        <v>289</v>
      </c>
      <c r="B3" s="389" t="s">
        <v>250</v>
      </c>
      <c r="C3" s="390">
        <f>Доходи!C4</f>
        <v>44562</v>
      </c>
      <c r="D3" s="390">
        <f>Доходи!D4</f>
        <v>44593</v>
      </c>
      <c r="E3" s="390">
        <f>Доходи!E4</f>
        <v>44621</v>
      </c>
      <c r="F3" s="390">
        <f>Доходи!F4</f>
        <v>44652</v>
      </c>
      <c r="G3" s="390">
        <f>Доходи!G4</f>
        <v>44682</v>
      </c>
      <c r="H3" s="390">
        <f>Доходи!H4</f>
        <v>44713</v>
      </c>
      <c r="I3" s="390">
        <f>Доходи!I4</f>
        <v>44743</v>
      </c>
      <c r="J3" s="390">
        <f>Доходи!J4</f>
        <v>44774</v>
      </c>
      <c r="K3" s="390">
        <f>Доходи!K4</f>
        <v>44805</v>
      </c>
      <c r="L3" s="390">
        <f>Доходи!L4</f>
        <v>44835</v>
      </c>
      <c r="M3" s="390">
        <f>Доходи!M4</f>
        <v>44866</v>
      </c>
      <c r="N3" s="390">
        <f>Доходи!N4</f>
        <v>44896</v>
      </c>
      <c r="O3" s="390">
        <f>Доходи!O4</f>
        <v>44927</v>
      </c>
      <c r="P3" s="390">
        <f>Доходи!P4</f>
        <v>44958</v>
      </c>
      <c r="Q3" s="390">
        <f>Доходи!Q4</f>
        <v>44986</v>
      </c>
      <c r="R3" s="390">
        <f>Доходи!R4</f>
        <v>45017</v>
      </c>
      <c r="S3" s="390">
        <f>Доходи!S4</f>
        <v>45047</v>
      </c>
      <c r="T3" s="390">
        <f>Доходи!T4</f>
        <v>45078</v>
      </c>
      <c r="U3" s="390">
        <f>Доходи!U4</f>
        <v>45108</v>
      </c>
      <c r="V3" s="390">
        <f>Доходи!V4</f>
        <v>45139</v>
      </c>
      <c r="W3" s="390">
        <f>Доходи!W4</f>
        <v>45170</v>
      </c>
      <c r="X3" s="390">
        <f>Доходи!X4</f>
        <v>45200</v>
      </c>
      <c r="Y3" s="390">
        <f>Доходи!Y4</f>
        <v>45231</v>
      </c>
      <c r="Z3" s="390">
        <f>Доходи!Z4</f>
        <v>45261</v>
      </c>
      <c r="AA3" s="390">
        <f>Доходи!AA4</f>
        <v>45292</v>
      </c>
      <c r="AB3" s="390">
        <f>Доходи!AB4</f>
        <v>45323</v>
      </c>
      <c r="AC3" s="390">
        <f>Доходи!AC4</f>
        <v>45352</v>
      </c>
      <c r="AD3" s="390">
        <f>Доходи!AD4</f>
        <v>45383</v>
      </c>
      <c r="AE3" s="390">
        <f>Доходи!AE4</f>
        <v>45413</v>
      </c>
      <c r="AF3" s="390">
        <f>Доходи!AF4</f>
        <v>45444</v>
      </c>
      <c r="AG3" s="390">
        <f>Доходи!AG4</f>
        <v>45474</v>
      </c>
      <c r="AH3" s="390">
        <f>Доходи!AH4</f>
        <v>45505</v>
      </c>
      <c r="AI3" s="390">
        <f>Доходи!AI4</f>
        <v>45536</v>
      </c>
      <c r="AJ3" s="390">
        <f>Доходи!AJ4</f>
        <v>45566</v>
      </c>
      <c r="AK3" s="390">
        <f>Доходи!AK4</f>
        <v>45597</v>
      </c>
      <c r="AL3" s="390">
        <f>Доходи!AL4</f>
        <v>45627</v>
      </c>
      <c r="AM3" s="390">
        <f>Доходи!AM4</f>
        <v>45658</v>
      </c>
      <c r="AN3" s="390">
        <f>Доходи!AN4</f>
        <v>45689</v>
      </c>
      <c r="AO3" s="390">
        <f>Доходи!AO4</f>
        <v>45717</v>
      </c>
      <c r="AP3" s="390">
        <f>Доходи!AP4</f>
        <v>45748</v>
      </c>
      <c r="AQ3" s="390">
        <f>Доходи!AQ4</f>
        <v>45778</v>
      </c>
      <c r="AR3" s="390">
        <f>Доходи!AR4</f>
        <v>45809</v>
      </c>
      <c r="AS3" s="390">
        <f>Доходи!AS4</f>
        <v>45839</v>
      </c>
      <c r="AT3" s="390">
        <f>Доходи!AT4</f>
        <v>45870</v>
      </c>
      <c r="AU3" s="390">
        <f>Доходи!AU4</f>
        <v>45901</v>
      </c>
      <c r="AV3" s="390">
        <f>Доходи!AV4</f>
        <v>45931</v>
      </c>
      <c r="AW3" s="390">
        <f>Доходи!AW4</f>
        <v>45962</v>
      </c>
      <c r="AX3" s="390">
        <f>Доходи!AX4</f>
        <v>45992</v>
      </c>
      <c r="AY3" s="390">
        <f>Доходи!AY4</f>
        <v>46023</v>
      </c>
      <c r="AZ3" s="390">
        <f>Доходи!AZ4</f>
        <v>46054</v>
      </c>
      <c r="BA3" s="390">
        <f>Доходи!BA4</f>
        <v>46082</v>
      </c>
      <c r="BB3" s="390">
        <f>Доходи!BB4</f>
        <v>46113</v>
      </c>
      <c r="BC3" s="390">
        <f>Доходи!BC4</f>
        <v>46143</v>
      </c>
      <c r="BD3" s="390">
        <f>Доходи!BD4</f>
        <v>46174</v>
      </c>
      <c r="BE3" s="390">
        <f>Доходи!BE4</f>
        <v>46204</v>
      </c>
      <c r="BF3" s="390">
        <f>Доходи!BF4</f>
        <v>46235</v>
      </c>
      <c r="BG3" s="390">
        <f>Доходи!BG4</f>
        <v>46266</v>
      </c>
      <c r="BH3" s="390">
        <f>Доходи!BH4</f>
        <v>46296</v>
      </c>
      <c r="BI3" s="390">
        <f>Доходи!BI4</f>
        <v>46327</v>
      </c>
      <c r="BJ3" s="390">
        <f>Доходи!BJ4</f>
        <v>46357</v>
      </c>
    </row>
    <row r="4" spans="1:62" s="396" customFormat="1">
      <c r="A4" s="394" t="s">
        <v>158</v>
      </c>
      <c r="B4" s="395">
        <f>SUM(C4:BJ4)</f>
        <v>34492959.050378025</v>
      </c>
      <c r="C4" s="395">
        <f>SUM(C5:C8)</f>
        <v>979008.14</v>
      </c>
      <c r="D4" s="395">
        <f t="shared" ref="D4:BJ4" si="0">SUM(D5:D8)</f>
        <v>735460.1827624999</v>
      </c>
      <c r="E4" s="395">
        <f t="shared" si="0"/>
        <v>492195.88881293754</v>
      </c>
      <c r="F4" s="395">
        <f t="shared" si="0"/>
        <v>395137.10282797593</v>
      </c>
      <c r="G4" s="395">
        <f t="shared" si="0"/>
        <v>494649.93198130722</v>
      </c>
      <c r="H4" s="395">
        <f t="shared" si="0"/>
        <v>495881.55681126053</v>
      </c>
      <c r="I4" s="395">
        <f t="shared" si="0"/>
        <v>497116.26070328872</v>
      </c>
      <c r="J4" s="395">
        <f t="shared" si="0"/>
        <v>498354.0513550468</v>
      </c>
      <c r="K4" s="395">
        <f t="shared" si="0"/>
        <v>400075.94918674754</v>
      </c>
      <c r="L4" s="395">
        <f t="shared" si="0"/>
        <v>500838.9238246429</v>
      </c>
      <c r="M4" s="395">
        <f t="shared" si="0"/>
        <v>502086.02113420441</v>
      </c>
      <c r="N4" s="395">
        <f t="shared" si="0"/>
        <v>503336.23618703999</v>
      </c>
      <c r="O4" s="395">
        <f t="shared" si="0"/>
        <v>1007179.1535550151</v>
      </c>
      <c r="P4" s="395">
        <f t="shared" si="0"/>
        <v>757769.07607917686</v>
      </c>
      <c r="Q4" s="395">
        <f t="shared" si="0"/>
        <v>507105.66584624985</v>
      </c>
      <c r="R4" s="395">
        <f t="shared" si="0"/>
        <v>407094.74400869239</v>
      </c>
      <c r="S4" s="395">
        <f t="shared" si="0"/>
        <v>509634.35108589253</v>
      </c>
      <c r="T4" s="395">
        <f t="shared" si="0"/>
        <v>510903.43696360727</v>
      </c>
      <c r="U4" s="395">
        <f t="shared" si="0"/>
        <v>512175.69555601623</v>
      </c>
      <c r="V4" s="395">
        <f t="shared" si="0"/>
        <v>513451.13479490631</v>
      </c>
      <c r="W4" s="395">
        <f t="shared" si="0"/>
        <v>412183.81010551483</v>
      </c>
      <c r="X4" s="395">
        <f t="shared" si="0"/>
        <v>516011.58703847317</v>
      </c>
      <c r="Y4" s="395">
        <f t="shared" si="0"/>
        <v>517296.61600606935</v>
      </c>
      <c r="Z4" s="395">
        <f t="shared" si="0"/>
        <v>518584.8575460845</v>
      </c>
      <c r="AA4" s="395">
        <f t="shared" si="0"/>
        <v>1037752.6393798994</v>
      </c>
      <c r="AB4" s="395">
        <f t="shared" si="0"/>
        <v>780756.51573376183</v>
      </c>
      <c r="AC4" s="395">
        <f t="shared" si="0"/>
        <v>522468.93801539746</v>
      </c>
      <c r="AD4" s="395">
        <f t="shared" si="0"/>
        <v>419416.08828834887</v>
      </c>
      <c r="AE4" s="395">
        <f t="shared" si="0"/>
        <v>525074.53563633712</v>
      </c>
      <c r="AF4" s="395">
        <f t="shared" si="0"/>
        <v>526382.22197542782</v>
      </c>
      <c r="AG4" s="395">
        <f t="shared" si="0"/>
        <v>527693.17753036646</v>
      </c>
      <c r="AH4" s="395">
        <f t="shared" si="0"/>
        <v>529007.41047419247</v>
      </c>
      <c r="AI4" s="395">
        <f t="shared" si="0"/>
        <v>424659.94320030225</v>
      </c>
      <c r="AJ4" s="395">
        <f t="shared" si="0"/>
        <v>531645.74132287886</v>
      </c>
      <c r="AK4" s="395">
        <f t="shared" si="0"/>
        <v>532969.85567618592</v>
      </c>
      <c r="AL4" s="395">
        <f t="shared" si="0"/>
        <v>534297.28031537635</v>
      </c>
      <c r="AM4" s="395">
        <f t="shared" si="0"/>
        <v>1069256.0470323293</v>
      </c>
      <c r="AN4" s="395">
        <f t="shared" si="0"/>
        <v>804443.14036243258</v>
      </c>
      <c r="AO4" s="395">
        <f t="shared" si="0"/>
        <v>538299.49880889244</v>
      </c>
      <c r="AP4" s="395">
        <f t="shared" si="0"/>
        <v>432112.19804473169</v>
      </c>
      <c r="AQ4" s="395">
        <f t="shared" si="0"/>
        <v>540984.34817480436</v>
      </c>
      <c r="AR4" s="395">
        <f t="shared" si="0"/>
        <v>542331.80904524133</v>
      </c>
      <c r="AS4" s="395">
        <f t="shared" si="0"/>
        <v>543682.63856785442</v>
      </c>
      <c r="AT4" s="395">
        <f t="shared" si="0"/>
        <v>545036.84516427398</v>
      </c>
      <c r="AU4" s="395">
        <f t="shared" si="0"/>
        <v>437515.54982174764</v>
      </c>
      <c r="AV4" s="395">
        <f t="shared" si="0"/>
        <v>547755.42337037763</v>
      </c>
      <c r="AW4" s="395">
        <f t="shared" si="0"/>
        <v>549119.81192880345</v>
      </c>
      <c r="AX4" s="395">
        <f t="shared" si="0"/>
        <v>550487.61145862541</v>
      </c>
      <c r="AY4" s="395">
        <f t="shared" si="0"/>
        <v>1101717.6609745438</v>
      </c>
      <c r="AZ4" s="395">
        <f t="shared" si="0"/>
        <v>828850.21634523501</v>
      </c>
      <c r="BA4" s="395">
        <f t="shared" si="0"/>
        <v>554611.5612573988</v>
      </c>
      <c r="BB4" s="395">
        <f t="shared" si="0"/>
        <v>445194.4721284337</v>
      </c>
      <c r="BC4" s="395">
        <f t="shared" si="0"/>
        <v>557378.07288594346</v>
      </c>
      <c r="BD4" s="395">
        <f t="shared" si="0"/>
        <v>558766.51806815842</v>
      </c>
      <c r="BE4" s="395">
        <f t="shared" si="0"/>
        <v>560158.43436332874</v>
      </c>
      <c r="BF4" s="395">
        <f t="shared" si="0"/>
        <v>561553.83044923714</v>
      </c>
      <c r="BG4" s="395">
        <f t="shared" si="0"/>
        <v>450762.17202028818</v>
      </c>
      <c r="BH4" s="395">
        <f t="shared" si="0"/>
        <v>564355.09681292356</v>
      </c>
      <c r="BI4" s="395">
        <f t="shared" si="0"/>
        <v>565760.98455495585</v>
      </c>
      <c r="BJ4" s="395">
        <f t="shared" si="0"/>
        <v>567170.38701634319</v>
      </c>
    </row>
    <row r="5" spans="1:62" s="396" customFormat="1">
      <c r="A5" s="391" t="s">
        <v>323</v>
      </c>
      <c r="B5" s="100">
        <f t="shared" ref="B5:B8" si="1">SUM(C5:BJ5)</f>
        <v>6220741.7456520591</v>
      </c>
      <c r="C5" s="100">
        <f>$B$42*Доходи!$D$38*Доходи!C$21*Доходи!C$22</f>
        <v>176553</v>
      </c>
      <c r="D5" s="100">
        <f>$B$42*Доходи!$D$38*Доходи!D$21*Доходи!D$22</f>
        <v>132745.78687499999</v>
      </c>
      <c r="E5" s="100">
        <f>$B$42*Доходи!$D$38*Доходи!E$21*Доходи!E$22</f>
        <v>88718.434228125014</v>
      </c>
      <c r="F5" s="100">
        <f>$B$42*Доходи!$D$38*Доходи!F$21*Доходи!F$22</f>
        <v>71152.184250956256</v>
      </c>
      <c r="G5" s="391">
        <f>$B$42*Доходи!$D$38*Доходи!G$21*Доходи!G$22</f>
        <v>89162.580889479534</v>
      </c>
      <c r="H5" s="100">
        <f>$B$42*Доходи!$D$38*Доходи!H$21*Доходи!H$22</f>
        <v>89385.487341703236</v>
      </c>
      <c r="I5" s="100">
        <f>$B$42*Доходи!$D$38*Доходи!I$21*Доходи!I$22</f>
        <v>89608.951060057501</v>
      </c>
      <c r="J5" s="100">
        <f>$B$42*Доходи!$D$38*Доходи!J$21*Доходи!J$22</f>
        <v>89832.973437707638</v>
      </c>
      <c r="K5" s="100">
        <f>$B$42*Доходи!$D$38*Доходи!K$21*Доходи!K$22</f>
        <v>72046.044697041521</v>
      </c>
      <c r="L5" s="100">
        <f>$B$42*Доходи!$D$38*Доходи!L$21*Доходи!L$22</f>
        <v>90282.699760980147</v>
      </c>
      <c r="M5" s="391">
        <f>$B$42*Доходи!$D$38*Доходи!M$21*Доходи!M$22</f>
        <v>90508.406510382585</v>
      </c>
      <c r="N5" s="100">
        <f>$B$42*Доходи!$D$38*Доходи!N$21*Доходи!N$22</f>
        <v>90734.677526658546</v>
      </c>
      <c r="O5" s="100">
        <f>$B$42*Доходи!$D$38*Доходи!O$21*Доходи!O$22</f>
        <v>181923.02844095038</v>
      </c>
      <c r="P5" s="100">
        <f>$B$42*Доходи!$D$38*Доходи!P$21*Доходи!P$22</f>
        <v>136783.37700903954</v>
      </c>
      <c r="Q5" s="100">
        <f>$B$42*Доходи!$D$38*Доходи!Q$21*Доходи!Q$22</f>
        <v>91416.890301041421</v>
      </c>
      <c r="R5" s="100">
        <f>$B$42*Доходи!$D$38*Доходи!R$21*Доходи!R$22</f>
        <v>73316.346021435224</v>
      </c>
      <c r="S5" s="391">
        <f>$B$42*Доходи!$D$38*Доходи!S$21*Доходи!S$22</f>
        <v>91874.546108110997</v>
      </c>
      <c r="T5" s="100">
        <f>$B$42*Доходи!$D$38*Доходи!T$21*Доходи!T$22</f>
        <v>92104.232473381257</v>
      </c>
      <c r="U5" s="100">
        <f>$B$42*Доходи!$D$38*Доходи!U$21*Доходи!U$22</f>
        <v>92334.493054564708</v>
      </c>
      <c r="V5" s="100">
        <f>$B$42*Доходи!$D$38*Доходи!V$21*Доходи!V$22</f>
        <v>92565.329287201122</v>
      </c>
      <c r="W5" s="100">
        <f>$B$42*Доходи!$D$38*Доходи!W$21*Доходи!W$22</f>
        <v>74237.394088335292</v>
      </c>
      <c r="X5" s="100">
        <f>$B$42*Доходи!$D$38*Доходи!X$21*Доходи!X$22</f>
        <v>93028.734466945156</v>
      </c>
      <c r="Y5" s="391">
        <f>$B$42*Доходи!$D$38*Доходи!Y$21*Доходи!Y$22</f>
        <v>93261.30630311252</v>
      </c>
      <c r="Z5" s="100">
        <f>$B$42*Доходи!$D$38*Доходи!Z$21*Доходи!Z$22</f>
        <v>93494.459568870298</v>
      </c>
      <c r="AA5" s="100">
        <f>$B$42*Доходи!$D$38*Доходи!AA$21*Доходи!AA$22</f>
        <v>187456.39143558493</v>
      </c>
      <c r="AB5" s="100">
        <f>$B$42*Доходи!$D$38*Доходи!AB$21*Доходи!AB$22</f>
        <v>140943.7743106304</v>
      </c>
      <c r="AC5" s="100">
        <f>$B$42*Доходи!$D$38*Доходи!AC$21*Доходи!AC$22</f>
        <v>94197.422497604653</v>
      </c>
      <c r="AD5" s="100">
        <f>$B$42*Доходи!$D$38*Доходи!AD$21*Доходи!AD$22</f>
        <v>75546.332843078926</v>
      </c>
      <c r="AE5" s="391">
        <f>$B$42*Доходи!$D$38*Доходи!AE$21*Доходи!AE$22</f>
        <v>94668.998343983287</v>
      </c>
      <c r="AF5" s="100">
        <f>$B$42*Доходи!$D$38*Доходи!AF$21*Доходи!AF$22</f>
        <v>94905.670839843238</v>
      </c>
      <c r="AG5" s="100">
        <f>$B$42*Доходи!$D$38*Доходи!AG$21*Доходи!AG$22</f>
        <v>95142.935016942851</v>
      </c>
      <c r="AH5" s="100">
        <f>$B$42*Доходи!$D$38*Доходи!AH$21*Доходи!AH$22</f>
        <v>95380.792354485209</v>
      </c>
      <c r="AI5" s="100">
        <f>$B$42*Доходи!$D$38*Доходи!AI$21*Доходи!AI$22</f>
        <v>76495.395468297138</v>
      </c>
      <c r="AJ5" s="100">
        <f>$B$42*Доходи!$D$38*Доходи!AJ$21*Доходи!AJ$22</f>
        <v>95858.292446209845</v>
      </c>
      <c r="AK5" s="391">
        <f>$B$42*Доходи!$D$38*Доходи!AK$21*Доходи!AK$22</f>
        <v>96097.93817732537</v>
      </c>
      <c r="AL5" s="100">
        <f>$B$42*Доходи!$D$38*Доходи!AL$21*Доходи!AL$22</f>
        <v>96338.183022768673</v>
      </c>
      <c r="AM5" s="100">
        <f>$B$42*Доходи!$D$38*Доходи!AM$21*Доходи!AM$22</f>
        <v>193158.05696065116</v>
      </c>
      <c r="AN5" s="100">
        <f>$B$42*Доходи!$D$38*Доходи!AN$21*Доходи!AN$22</f>
        <v>145230.71407728957</v>
      </c>
      <c r="AO5" s="100">
        <f>$B$42*Доходи!$D$38*Доходи!AO$21*Доходи!AO$22</f>
        <v>97062.527241655189</v>
      </c>
      <c r="AP5" s="100">
        <f>$B$42*Доходи!$D$38*Доходи!AP$21*Доходи!AP$22</f>
        <v>77844.146847807453</v>
      </c>
      <c r="AQ5" s="391">
        <f>$B$42*Доходи!$D$38*Доходи!AQ$21*Доходи!AQ$22</f>
        <v>97548.446518658704</v>
      </c>
      <c r="AR5" s="100">
        <f>$B$42*Доходи!$D$38*Доходи!AR$21*Доходи!AR$22</f>
        <v>97792.31763495534</v>
      </c>
      <c r="AS5" s="100">
        <f>$B$42*Доходи!$D$38*Доходи!AS$21*Доходи!AS$22</f>
        <v>98036.798429042727</v>
      </c>
      <c r="AT5" s="100">
        <f>$B$42*Доходи!$D$38*Доходи!AT$21*Доходи!AT$22</f>
        <v>98281.890425115329</v>
      </c>
      <c r="AU5" s="100">
        <f>$B$42*Доходи!$D$38*Доходи!AU$21*Доходи!AU$22</f>
        <v>78822.076120942482</v>
      </c>
      <c r="AV5" s="100">
        <f>$B$42*Доходи!$D$38*Доходи!AV$21*Доходи!AV$22</f>
        <v>98773.914139056054</v>
      </c>
      <c r="AW5" s="391">
        <f>$B$42*Доходи!$D$38*Доходи!AW$21*Доходи!AW$22</f>
        <v>99020.84892440369</v>
      </c>
      <c r="AX5" s="100">
        <f>$B$42*Доходи!$D$38*Доходи!AX$21*Доходи!AX$22</f>
        <v>99268.401046714687</v>
      </c>
      <c r="AY5" s="100">
        <f>$B$42*Доходи!$D$38*Доходи!AY$21*Доходи!AY$22</f>
        <v>199033.14409866292</v>
      </c>
      <c r="AZ5" s="100">
        <f>$B$42*Доходи!$D$38*Доходи!AZ$21*Доходи!AZ$22</f>
        <v>149648.04521918218</v>
      </c>
      <c r="BA5" s="100">
        <f>$B$42*Доходи!$D$38*Доходи!BA$21*Доходи!BA$22</f>
        <v>100014.77688815341</v>
      </c>
      <c r="BB5" s="100">
        <f>$B$42*Доходи!$D$38*Доходи!BB$21*Доходи!BB$22</f>
        <v>80211.85106429903</v>
      </c>
      <c r="BC5" s="391">
        <f>$B$42*Доходи!$D$38*Доходи!BC$21*Доходи!BC$22</f>
        <v>100515.47586494972</v>
      </c>
      <c r="BD5" s="100">
        <f>$B$42*Доходи!$D$38*Доходи!BD$21*Доходи!BD$22</f>
        <v>100766.76455461209</v>
      </c>
      <c r="BE5" s="100">
        <f>$B$42*Доходи!$D$38*Доходи!BE$21*Доходи!BE$22</f>
        <v>101018.68146599861</v>
      </c>
      <c r="BF5" s="100">
        <f>$B$42*Доходи!$D$38*Доходи!BF$21*Доходи!BF$22</f>
        <v>101271.22816966362</v>
      </c>
      <c r="BG5" s="100">
        <f>$B$42*Доходи!$D$38*Доходи!BG$21*Доходи!BG$22</f>
        <v>81219.524992070219</v>
      </c>
      <c r="BH5" s="100">
        <f>$B$42*Доходи!$D$38*Доходи!BH$21*Доходи!BH$22</f>
        <v>101778.21725568798</v>
      </c>
      <c r="BI5" s="391">
        <f>$B$42*Доходи!$D$38*Доходи!BI$21*Доходи!BI$22</f>
        <v>102032.66279882721</v>
      </c>
      <c r="BJ5" s="100">
        <f>$B$42*Доходи!$D$38*Доходи!BJ$21*Доходи!BJ$22</f>
        <v>102287.74445582426</v>
      </c>
    </row>
    <row r="6" spans="1:62" s="328" customFormat="1" ht="12">
      <c r="A6" s="391" t="s">
        <v>147</v>
      </c>
      <c r="B6" s="100">
        <f t="shared" si="1"/>
        <v>121500</v>
      </c>
      <c r="C6" s="100">
        <v>3500</v>
      </c>
      <c r="D6" s="100">
        <v>2000</v>
      </c>
      <c r="E6" s="100">
        <v>2000</v>
      </c>
      <c r="F6" s="100">
        <v>2000</v>
      </c>
      <c r="G6" s="100">
        <v>2000</v>
      </c>
      <c r="H6" s="100">
        <v>2000</v>
      </c>
      <c r="I6" s="100">
        <v>2000</v>
      </c>
      <c r="J6" s="100">
        <v>2000</v>
      </c>
      <c r="K6" s="100">
        <v>2000</v>
      </c>
      <c r="L6" s="100">
        <v>2000</v>
      </c>
      <c r="M6" s="100">
        <v>2000</v>
      </c>
      <c r="N6" s="100">
        <v>2000</v>
      </c>
      <c r="O6" s="100">
        <v>2000</v>
      </c>
      <c r="P6" s="100">
        <v>2000</v>
      </c>
      <c r="Q6" s="100">
        <v>2000</v>
      </c>
      <c r="R6" s="100">
        <v>2000</v>
      </c>
      <c r="S6" s="100">
        <v>2000</v>
      </c>
      <c r="T6" s="100">
        <v>2000</v>
      </c>
      <c r="U6" s="100">
        <v>2000</v>
      </c>
      <c r="V6" s="100">
        <v>2000</v>
      </c>
      <c r="W6" s="100">
        <v>2000</v>
      </c>
      <c r="X6" s="100">
        <v>2000</v>
      </c>
      <c r="Y6" s="100">
        <v>2000</v>
      </c>
      <c r="Z6" s="100">
        <v>2000</v>
      </c>
      <c r="AA6" s="100">
        <v>2000</v>
      </c>
      <c r="AB6" s="100">
        <v>2000</v>
      </c>
      <c r="AC6" s="100">
        <v>2000</v>
      </c>
      <c r="AD6" s="100">
        <v>2000</v>
      </c>
      <c r="AE6" s="100">
        <v>2000</v>
      </c>
      <c r="AF6" s="100">
        <v>2000</v>
      </c>
      <c r="AG6" s="100">
        <v>2000</v>
      </c>
      <c r="AH6" s="100">
        <v>2000</v>
      </c>
      <c r="AI6" s="100">
        <v>2000</v>
      </c>
      <c r="AJ6" s="100">
        <v>2000</v>
      </c>
      <c r="AK6" s="100">
        <v>2000</v>
      </c>
      <c r="AL6" s="100">
        <v>2000</v>
      </c>
      <c r="AM6" s="100">
        <v>2000</v>
      </c>
      <c r="AN6" s="100">
        <v>2000</v>
      </c>
      <c r="AO6" s="100">
        <v>2000</v>
      </c>
      <c r="AP6" s="100">
        <v>2000</v>
      </c>
      <c r="AQ6" s="100">
        <v>2000</v>
      </c>
      <c r="AR6" s="100">
        <v>2000</v>
      </c>
      <c r="AS6" s="100">
        <v>2000</v>
      </c>
      <c r="AT6" s="100">
        <v>2000</v>
      </c>
      <c r="AU6" s="100">
        <v>2000</v>
      </c>
      <c r="AV6" s="100">
        <v>2000</v>
      </c>
      <c r="AW6" s="100">
        <v>2000</v>
      </c>
      <c r="AX6" s="100">
        <v>2000</v>
      </c>
      <c r="AY6" s="100">
        <v>2000</v>
      </c>
      <c r="AZ6" s="100">
        <v>2000</v>
      </c>
      <c r="BA6" s="100">
        <v>2000</v>
      </c>
      <c r="BB6" s="100">
        <v>2000</v>
      </c>
      <c r="BC6" s="100">
        <v>2000</v>
      </c>
      <c r="BD6" s="100">
        <v>2000</v>
      </c>
      <c r="BE6" s="100">
        <v>2000</v>
      </c>
      <c r="BF6" s="100">
        <v>2000</v>
      </c>
      <c r="BG6" s="100">
        <v>2000</v>
      </c>
      <c r="BH6" s="100">
        <v>2000</v>
      </c>
      <c r="BI6" s="100">
        <v>2000</v>
      </c>
      <c r="BJ6" s="100">
        <v>2000</v>
      </c>
    </row>
    <row r="7" spans="1:62" s="328" customFormat="1" ht="12">
      <c r="A7" s="391" t="s">
        <v>299</v>
      </c>
      <c r="B7" s="100">
        <f t="shared" si="1"/>
        <v>27448890.030857541</v>
      </c>
      <c r="C7" s="100">
        <f>($B$34*Доходи!$D$30*Доходи!C$21*Доходи!C$22)+($B$35*Доходи!$D$31*Доходи!C$21*Доходи!C$22)+($B$36*Доходи!$D$32*Доходи!C$21*Доходи!C$22)+($B$37*Доходи!$D$33*Доходи!C$21*Доходи!C$22)+($B$38*Доходи!$D$34*Доходи!C$21*Доходи!C$22)+($B$39*Доходи!$D$35*Доходи!C$21*Доходи!C$22)+($B$40*Доходи!$D$36*Доходи!C$21*Доходи!C$22)</f>
        <v>779036.34</v>
      </c>
      <c r="D7" s="100">
        <f>($B$34*Доходи!$D$30*Доходи!D$21*Доходи!D$22)+($B$35*Доходи!$D$31*Доходи!D$21*Доходи!D$22)+($B$36*Доходи!$D$32*Доходи!D$21*Доходи!D$22)+($B$37*Доходи!$D$33*Доходи!D$21*Доходи!D$22)+($B$38*Доходи!$D$34*Доходи!D$21*Доходи!D$22)+($B$39*Доходи!$D$35*Доходи!D$21*Доходи!D$22)+($B$40*Доходи!$D$36*Доходи!D$21*Доходи!D$22)</f>
        <v>585737.94813749986</v>
      </c>
      <c r="E7" s="100">
        <f>($B$34*Доходи!$D$30*Доходи!E$21*Доходи!E$22)+($B$35*Доходи!$D$31*Доходи!E$21*Доходи!E$22)+($B$36*Доходи!$D$32*Доходи!E$21*Доходи!E$22)+($B$37*Доходи!$D$33*Доходи!E$21*Доходи!E$22)+($B$38*Доходи!$D$34*Доходи!E$21*Доходи!E$22)+($B$39*Доходи!$D$35*Доходи!E$21*Доходи!E$22)+($B$40*Доходи!$D$36*Доходи!E$21*Доходи!E$22)</f>
        <v>391468.19533856254</v>
      </c>
      <c r="F7" s="100">
        <f>($B$34*Доходи!$D$30*Доходи!F$21*Доходи!F$22)+($B$35*Доходи!$D$31*Доходи!F$21*Доходи!F$22)+($B$36*Доходи!$D$32*Доходи!F$21*Доходи!F$22)+($B$37*Доходи!$D$33*Доходи!F$21*Доходи!F$22)+($B$38*Доходи!$D$34*Доходи!F$21*Доходи!F$22)+($B$39*Доходи!$D$35*Доходи!F$21*Доходи!F$22)+($B$40*Доходи!$D$36*Доходи!F$21*Доходи!F$22)</f>
        <v>313957.49266152713</v>
      </c>
      <c r="G7" s="100">
        <f>($B$34*Доходи!$D$30*Доходи!G$21*Доходи!G$22)+($B$35*Доходи!$D$31*Доходи!G$21*Доходи!G$22)+($B$36*Доходи!$D$32*Доходи!G$21*Доходи!G$22)+($B$37*Доходи!$D$33*Доходи!G$21*Доходи!G$22)+($B$38*Доходи!$D$34*Доходи!G$21*Доходи!G$22)+($B$39*Доходи!$D$35*Доходи!G$21*Доходи!G$22)+($B$40*Доходи!$D$36*Доходи!G$21*Доходи!G$22)</f>
        <v>393427.98299147614</v>
      </c>
      <c r="H7" s="100">
        <f>($B$34*Доходи!$D$30*Доходи!H$21*Доходи!H$22)+($B$35*Доходи!$D$31*Доходи!H$21*Доходи!H$22)+($B$36*Доходи!$D$32*Доходи!H$21*Доходи!H$22)+($B$37*Доходи!$D$33*Доходи!H$21*Доходи!H$22)+($B$38*Доходи!$D$34*Доходи!H$21*Доходи!H$22)+($B$39*Доходи!$D$35*Доходи!H$21*Доходи!H$22)+($B$40*Доходи!$D$36*Доходи!H$21*Доходи!H$22)</f>
        <v>394411.55294895486</v>
      </c>
      <c r="I7" s="100">
        <f>($B$34*Доходи!$D$30*Доходи!I$21*Доходи!I$22)+($B$35*Доходи!$D$31*Доходи!I$21*Доходи!I$22)+($B$36*Доходи!$D$32*Доходи!I$21*Доходи!I$22)+($B$37*Доходи!$D$33*Доходи!I$21*Доходи!I$22)+($B$38*Доходи!$D$34*Доходи!I$21*Доходи!I$22)+($B$39*Доходи!$D$35*Доходи!I$21*Доходи!I$22)+($B$40*Доходи!$D$36*Доходи!I$21*Доходи!I$22)</f>
        <v>395397.58183132729</v>
      </c>
      <c r="J7" s="100">
        <f>($B$34*Доходи!$D$30*Доходи!J$21*Доходи!J$22)+($B$35*Доходи!$D$31*Доходи!J$21*Доходи!J$22)+($B$36*Доходи!$D$32*Доходи!J$21*Доходи!J$22)+($B$37*Доходи!$D$33*Доходи!J$21*Доходи!J$22)+($B$38*Доходи!$D$34*Доходи!J$21*Доходи!J$22)+($B$39*Доходи!$D$35*Доходи!J$21*Доходи!J$22)+($B$40*Доходи!$D$36*Доходи!J$21*Доходи!J$22)</f>
        <v>396386.07578590547</v>
      </c>
      <c r="K7" s="100">
        <f>($B$34*Доходи!$D$30*Доходи!K$21*Доходи!K$22)+($B$35*Доходи!$D$31*Доходи!K$21*Доходи!K$22)+($B$36*Доходи!$D$32*Доходи!K$21*Доходи!K$22)+($B$37*Доходи!$D$33*Доходи!K$21*Доходи!K$22)+($B$38*Доходи!$D$34*Доходи!K$21*Доходи!K$22)+($B$39*Доходи!$D$35*Доходи!K$21*Доходи!K$22)+($B$40*Доходи!$D$36*Доходи!K$21*Доходи!K$22)</f>
        <v>317901.6327802962</v>
      </c>
      <c r="L7" s="100">
        <f>($B$34*Доходи!$D$30*Доходи!L$21*Доходи!L$22)+($B$35*Доходи!$D$31*Доходи!L$21*Доходи!L$22)+($B$36*Доходи!$D$32*Доходи!L$21*Доходи!L$22)+($B$37*Доходи!$D$33*Доходи!L$21*Доходи!L$22)+($B$38*Доходи!$D$34*Доходи!L$21*Доходи!L$22)+($B$39*Доходи!$D$35*Доходи!L$21*Доходи!L$22)+($B$40*Доходи!$D$36*Доходи!L$21*Доходи!L$22)</f>
        <v>398370.4835778086</v>
      </c>
      <c r="M7" s="100">
        <f>($B$34*Доходи!$D$30*Доходи!M$21*Доходи!M$22)+($B$35*Доходи!$D$31*Доходи!M$21*Доходи!M$22)+($B$36*Доходи!$D$32*Доходи!M$21*Доходи!M$22)+($B$37*Доходи!$D$33*Доходи!M$21*Доходи!M$22)+($B$38*Доходи!$D$34*Доходи!M$21*Доходи!M$22)+($B$39*Доходи!$D$35*Доходи!M$21*Доходи!M$22)+($B$40*Доходи!$D$36*Доходи!M$21*Доходи!M$22)</f>
        <v>399366.40978675301</v>
      </c>
      <c r="N7" s="100">
        <f>($B$34*Доходи!$D$30*Доходи!N$21*Доходи!N$22)+($B$35*Доходи!$D$31*Доходи!N$21*Доходи!N$22)+($B$36*Доходи!$D$32*Доходи!N$21*Доходи!N$22)+($B$37*Доходи!$D$33*Доходи!N$21*Доходи!N$22)+($B$38*Доходи!$D$34*Доходи!N$21*Доходи!N$22)+($B$39*Доходи!$D$35*Доходи!N$21*Доходи!N$22)+($B$40*Доходи!$D$36*Доходи!N$21*Доходи!N$22)</f>
        <v>400364.82581121998</v>
      </c>
      <c r="O7" s="100">
        <f>($B$34*Доходи!$D$30*Доходи!O$21*Доходи!O$22)+($B$35*Доходи!$D$31*Доходи!O$21*Доходи!O$22)+($B$36*Доходи!$D$32*Доходи!O$21*Доходи!O$22)+($B$37*Доходи!$D$33*Доходи!O$21*Доходи!O$22)+($B$38*Доходи!$D$34*Доходи!O$21*Доходи!O$22)+($B$39*Доходи!$D$35*Доходи!O$21*Доходи!O$22)+($B$40*Доходи!$D$36*Доходи!O$21*Доходи!O$22)</f>
        <v>802731.47575149604</v>
      </c>
      <c r="P7" s="100">
        <f>($B$34*Доходи!$D$30*Доходи!P$21*Доходи!P$22)+($B$35*Доходи!$D$31*Доходи!P$21*Доходи!P$22)+($B$36*Доходи!$D$32*Доходи!P$21*Доходи!P$22)+($B$37*Доходи!$D$33*Доходи!P$21*Доходи!P$22)+($B$38*Доходи!$D$34*Доходи!P$21*Доходи!P$22)+($B$39*Доходи!$D$35*Доходи!P$21*Доходи!P$22)+($B$40*Доходи!$D$36*Доходи!P$21*Доходи!P$22)</f>
        <v>603553.72833065595</v>
      </c>
      <c r="Q7" s="100">
        <f>($B$34*Доходи!$D$30*Доходи!Q$21*Доходи!Q$22)+($B$35*Доходи!$D$31*Доходи!Q$21*Доходи!Q$22)+($B$36*Доходи!$D$32*Доходи!Q$21*Доходи!Q$22)+($B$37*Доходи!$D$33*Доходи!Q$21*Доходи!Q$22)+($B$38*Доходи!$D$34*Доходи!Q$21*Доходи!Q$22)+($B$39*Доходи!$D$35*Доходи!Q$21*Доходи!Q$22)+($B$40*Доходи!$D$36*Доходи!Q$21*Доходи!Q$22)</f>
        <v>403375.07510098838</v>
      </c>
      <c r="R7" s="100">
        <f>($B$34*Доходи!$D$30*Доходи!R$21*Доходи!R$22)+($B$35*Доходи!$D$31*Доходи!R$21*Доходи!R$22)+($B$36*Доходи!$D$32*Доходи!R$21*Доходи!R$22)+($B$37*Доходи!$D$33*Доходи!R$21*Доходи!R$22)+($B$38*Доходи!$D$34*Доходи!R$21*Доходи!R$22)+($B$39*Доходи!$D$35*Доходи!R$21*Доходи!R$22)+($B$40*Доходи!$D$36*Доходи!R$21*Доходи!R$22)</f>
        <v>323506.81023099268</v>
      </c>
      <c r="S7" s="100">
        <f>($B$34*Доходи!$D$30*Доходи!S$21*Доходи!S$22)+($B$35*Доходи!$D$31*Доходи!S$21*Доходи!S$22)+($B$36*Доходи!$D$32*Доходи!S$21*Доходи!S$22)+($B$37*Доходи!$D$33*Доходи!S$21*Доходи!S$22)+($B$38*Доходи!$D$34*Доходи!S$21*Доходи!S$22)+($B$39*Доходи!$D$35*Доходи!S$21*Доходи!S$22)+($B$40*Доходи!$D$36*Доходи!S$21*Доходи!S$22)</f>
        <v>405394.47157071263</v>
      </c>
      <c r="T7" s="100">
        <f>($B$34*Доходи!$D$30*Доходи!T$21*Доходи!T$22)+($B$35*Доходи!$D$31*Доходи!T$21*Доходи!T$22)+($B$36*Доходи!$D$32*Доходи!T$21*Доходи!T$22)+($B$37*Доходи!$D$33*Доходи!T$21*Доходи!T$22)+($B$38*Доходи!$D$34*Доходи!T$21*Доходи!T$22)+($B$39*Доходи!$D$35*Доходи!T$21*Доходи!T$22)+($B$40*Доходи!$D$36*Доходи!T$21*Доходи!T$22)</f>
        <v>406407.9577496394</v>
      </c>
      <c r="U7" s="100">
        <f>($B$34*Доходи!$D$30*Доходи!U$21*Доходи!U$22)+($B$35*Доходи!$D$31*Доходи!U$21*Доходи!U$22)+($B$36*Доходи!$D$32*Доходи!U$21*Доходи!U$22)+($B$37*Доходи!$D$33*Доходи!U$21*Доходи!U$22)+($B$38*Доходи!$D$34*Доходи!U$21*Доходи!U$22)+($B$39*Доходи!$D$35*Доходи!U$21*Доходи!U$22)+($B$40*Доходи!$D$36*Доходи!U$21*Доходи!U$22)</f>
        <v>407423.97764401347</v>
      </c>
      <c r="V7" s="100">
        <f>($B$34*Доходи!$D$30*Доходи!V$21*Доходи!V$22)+($B$35*Доходи!$D$31*Доходи!V$21*Доходи!V$22)+($B$36*Доходи!$D$32*Доходи!V$21*Доходи!V$22)+($B$37*Доходи!$D$33*Доходи!V$21*Доходи!V$22)+($B$38*Доходи!$D$34*Доходи!V$21*Доходи!V$22)+($B$39*Доходи!$D$35*Доходи!V$21*Доходи!V$22)+($B$40*Доходи!$D$36*Доходи!V$21*Доходи!V$22)</f>
        <v>408442.53758812352</v>
      </c>
      <c r="W7" s="100">
        <f>($B$34*Доходи!$D$30*Доходи!W$21*Доходи!W$22)+($B$35*Доходи!$D$31*Доходи!W$21*Доходи!W$22)+($B$36*Доходи!$D$32*Доходи!W$21*Доходи!W$22)+($B$37*Доходи!$D$33*Доходи!W$21*Доходи!W$22)+($B$38*Доходи!$D$34*Доходи!W$21*Доходи!W$22)+($B$39*Доходи!$D$35*Доходи!W$21*Доходи!W$22)+($B$40*Доходи!$D$36*Доходи!W$21*Доходи!W$22)</f>
        <v>327570.91514567507</v>
      </c>
      <c r="X7" s="100">
        <f>($B$34*Доходи!$D$30*Доходи!X$21*Доходи!X$22)+($B$35*Доходи!$D$31*Доходи!X$21*Доходи!X$22)+($B$36*Доходи!$D$32*Доходи!X$21*Доходи!X$22)+($B$37*Доходи!$D$33*Доходи!X$21*Доходи!X$22)+($B$38*Доходи!$D$34*Доходи!X$21*Доходи!X$22)+($B$39*Доходи!$D$35*Доходи!X$21*Доходи!X$22)+($B$40*Доходи!$D$36*Доходи!X$21*Доходи!X$22)</f>
        <v>410487.30304192391</v>
      </c>
      <c r="Y7" s="100">
        <f>($B$34*Доходи!$D$30*Доходи!Y$21*Доходи!Y$22)+($B$35*Доходи!$D$31*Доходи!Y$21*Доходи!Y$22)+($B$36*Доходи!$D$32*Доходи!Y$21*Доходи!Y$22)+($B$37*Доходи!$D$33*Доходи!Y$21*Доходи!Y$22)+($B$38*Доходи!$D$34*Доходи!Y$21*Доходи!Y$22)+($B$39*Доходи!$D$35*Доходи!Y$21*Доходи!Y$22)+($B$40*Доходи!$D$36*Доходи!Y$21*Доходи!Y$22)</f>
        <v>411513.52129952871</v>
      </c>
      <c r="Z7" s="100">
        <f>($B$34*Доходи!$D$30*Доходи!Z$21*Доходи!Z$22)+($B$35*Доходи!$D$31*Доходи!Z$21*Доходи!Z$22)+($B$36*Доходи!$D$32*Доходи!Z$21*Доходи!Z$22)+($B$37*Доходи!$D$33*Доходи!Z$21*Доходи!Z$22)+($B$38*Доходи!$D$34*Доходи!Z$21*Доходи!Z$22)+($B$39*Доходи!$D$35*Доходи!Z$21*Доходи!Z$22)+($B$40*Доходи!$D$36*Доходи!Z$21*Доходи!Z$22)</f>
        <v>412542.30510277755</v>
      </c>
      <c r="AA7" s="100">
        <f>($B$34*Доходи!$D$30*Доходи!AA$21*Доходи!AA$22)+($B$35*Доходи!$D$31*Доходи!AA$21*Доходи!AA$22)+($B$36*Доходи!$D$32*Доходи!AA$21*Доходи!AA$22)+($B$37*Доходи!$D$33*Доходи!AA$21*Доходи!AA$22)+($B$38*Доходи!$D$34*Доходи!AA$21*Доходи!AA$22)+($B$39*Доходи!$D$35*Доходи!AA$21*Доходи!AA$22)+($B$40*Доходи!$D$36*Доходи!AA$21*Доходи!AA$22)</f>
        <v>827147.32173106901</v>
      </c>
      <c r="AB7" s="100">
        <f>($B$34*Доходи!$D$30*Доходи!AB$21*Доходи!AB$22)+($B$35*Доходи!$D$31*Доходи!AB$21*Доходи!AB$22)+($B$36*Доходи!$D$32*Доходи!AB$21*Доходи!AB$22)+($B$37*Доходи!$D$33*Доходи!AB$21*Доходи!AB$22)+($B$38*Доходи!$D$34*Доходи!AB$21*Доходи!AB$22)+($B$39*Доходи!$D$35*Доходи!AB$21*Доходи!AB$22)+($B$40*Доходи!$D$36*Доходи!AB$21*Доходи!AB$22)</f>
        <v>621911.39252654754</v>
      </c>
      <c r="AC7" s="100">
        <f>($B$34*Доходи!$D$30*Доходи!AC$21*Доходи!AC$22)+($B$35*Доходи!$D$31*Доходи!AC$21*Доходи!AC$22)+($B$36*Доходи!$D$32*Доходи!AC$21*Доходи!AC$22)+($B$37*Доходи!$D$33*Доходи!AC$21*Доходи!AC$22)+($B$38*Доходи!$D$34*Доходи!AC$21*Доходи!AC$22)+($B$39*Доходи!$D$35*Доходи!AC$21*Доходи!AC$22)+($B$40*Доходи!$D$36*Доходи!AC$21*Доходи!AC$22)</f>
        <v>415644.11400524259</v>
      </c>
      <c r="AD7" s="100">
        <f>($B$34*Доходи!$D$30*Доходи!AD$21*Доходи!AD$22)+($B$35*Доходи!$D$31*Доходи!AD$21*Доходи!AD$22)+($B$36*Доходи!$D$32*Доходи!AD$21*Доходи!AD$22)+($B$37*Доходи!$D$33*Доходи!AD$21*Доходи!AD$22)+($B$38*Доходи!$D$34*Доходи!AD$21*Доходи!AD$22)+($B$39*Доходи!$D$35*Доходи!AD$21*Доходи!AD$22)+($B$40*Доходи!$D$36*Доходи!AD$21*Доходи!AD$22)</f>
        <v>333346.5794322046</v>
      </c>
      <c r="AE7" s="100">
        <f>($B$34*Доходи!$D$30*Доходи!AE$21*Доходи!AE$22)+($B$35*Доходи!$D$31*Доходи!AE$21*Доходи!AE$22)+($B$36*Доходи!$D$32*Доходи!AE$21*Доходи!AE$22)+($B$37*Доходи!$D$33*Доходи!AE$21*Доходи!AE$22)+($B$38*Доходи!$D$34*Доходи!AE$21*Доходи!AE$22)+($B$39*Доходи!$D$35*Доходи!AE$21*Доходи!AE$22)+($B$40*Доходи!$D$36*Доходи!AE$21*Доходи!AE$22)</f>
        <v>417724.93235098128</v>
      </c>
      <c r="AF7" s="100">
        <f>($B$34*Доходи!$D$30*Доходи!AF$21*Доходи!AF$22)+($B$35*Доходи!$D$31*Доходи!AF$21*Доходи!AF$22)+($B$36*Доходи!$D$32*Доходи!AF$21*Доходи!AF$22)+($B$37*Доходи!$D$33*Доходи!AF$21*Доходи!AF$22)+($B$38*Доходи!$D$34*Доходи!AF$21*Доходи!AF$22)+($B$39*Доходи!$D$35*Доходи!AF$21*Доходи!AF$22)+($B$40*Доходи!$D$36*Доходи!AF$21*Доходи!AF$22)</f>
        <v>418769.24468185875</v>
      </c>
      <c r="AG7" s="100">
        <f>($B$34*Доходи!$D$30*Доходи!AG$21*Доходи!AG$22)+($B$35*Доходи!$D$31*Доходи!AG$21*Доходи!AG$22)+($B$36*Доходи!$D$32*Доходи!AG$21*Доходи!AG$22)+($B$37*Доходи!$D$33*Доходи!AG$21*Доходи!AG$22)+($B$38*Доходи!$D$34*Доходи!AG$21*Доходи!AG$22)+($B$39*Доходи!$D$35*Доходи!AG$21*Доходи!AG$22)+($B$40*Доходи!$D$36*Доходи!AG$21*Доходи!AG$22)</f>
        <v>419816.16779356333</v>
      </c>
      <c r="AH7" s="100">
        <f>($B$34*Доходи!$D$30*Доходи!AH$21*Доходи!AH$22)+($B$35*Доходи!$D$31*Доходи!AH$21*Доходи!AH$22)+($B$36*Доходи!$D$32*Доходи!AH$21*Доходи!AH$22)+($B$37*Доходи!$D$33*Доходи!AH$21*Доходи!AH$22)+($B$38*Доходи!$D$34*Доходи!AH$21*Доходи!AH$22)+($B$39*Доходи!$D$35*Доходи!AH$21*Доходи!AH$22)+($B$40*Доходи!$D$36*Доходи!AH$21*Доходи!AH$22)</f>
        <v>420865.70821304736</v>
      </c>
      <c r="AI7" s="100">
        <f>($B$34*Доходи!$D$30*Доходи!AI$21*Доходи!AI$22)+($B$35*Доходи!$D$31*Доходи!AI$21*Доходи!AI$22)+($B$36*Доходи!$D$32*Доходи!AI$21*Доходи!AI$22)+($B$37*Доходи!$D$33*Доходи!AI$21*Доходи!AI$22)+($B$38*Доходи!$D$34*Доходи!AI$21*Доходи!AI$22)+($B$39*Доходи!$D$35*Доходи!AI$21*Доходи!AI$22)+($B$40*Доходи!$D$36*Доходи!AI$21*Доходи!AI$22)</f>
        <v>337534.29798686394</v>
      </c>
      <c r="AJ7" s="100">
        <f>($B$34*Доходи!$D$30*Доходи!AJ$21*Доходи!AJ$22)+($B$35*Доходи!$D$31*Доходи!AJ$21*Доходи!AJ$22)+($B$36*Доходи!$D$32*Доходи!AJ$21*Доходи!AJ$22)+($B$37*Доходи!$D$33*Доходи!AJ$21*Доходи!AJ$22)+($B$38*Доходи!$D$34*Доходи!AJ$21*Доходи!AJ$22)+($B$39*Доходи!$D$35*Доходи!AJ$21*Доходи!AJ$22)+($B$40*Доходи!$D$36*Доходи!AJ$21*Доходи!AJ$22)</f>
        <v>422972.66716478887</v>
      </c>
      <c r="AK7" s="100">
        <f>($B$34*Доходи!$D$30*Доходи!AK$21*Доходи!AK$22)+($B$35*Доходи!$D$31*Доходи!AK$21*Доходи!AK$22)+($B$36*Доходи!$D$32*Доходи!AK$21*Доходи!AK$22)+($B$37*Доходи!$D$33*Доходи!AK$21*Доходи!AK$22)+($B$38*Доходи!$D$34*Доходи!AK$21*Доходи!AK$22)+($B$39*Доходи!$D$35*Доходи!AK$21*Доходи!AK$22)+($B$40*Доходи!$D$36*Доходи!AK$21*Доходи!AK$22)</f>
        <v>424030.09883270075</v>
      </c>
      <c r="AL7" s="100">
        <f>($B$34*Доходи!$D$30*Доходи!AL$21*Доходи!AL$22)+($B$35*Доходи!$D$31*Доходи!AL$21*Доходи!AL$22)+($B$36*Доходи!$D$32*Доходи!AL$21*Доходи!AL$22)+($B$37*Доходи!$D$33*Доходи!AL$21*Доходи!AL$22)+($B$38*Доходи!$D$34*Доходи!AL$21*Доходи!AL$22)+($B$39*Доходи!$D$35*Доходи!AL$21*Доходи!AL$22)+($B$40*Доходи!$D$36*Доходи!AL$21*Доходи!AL$22)</f>
        <v>425090.1740797825</v>
      </c>
      <c r="AM7" s="100">
        <f>($B$34*Доходи!$D$30*Доходи!AM$21*Доходи!AM$22)+($B$35*Доходи!$D$31*Доходи!AM$21*Доходи!AM$22)+($B$36*Доходи!$D$32*Доходи!AM$21*Доходи!AM$22)+($B$37*Доходи!$D$33*Доходи!AM$21*Доходи!AM$22)+($B$38*Доходи!$D$34*Доходи!AM$21*Доходи!AM$22)+($B$39*Доходи!$D$35*Доходи!AM$21*Доходи!AM$22)+($B$40*Доходи!$D$36*Доходи!AM$21*Доходи!AM$22)</f>
        <v>852305.79902996367</v>
      </c>
      <c r="AN7" s="100">
        <f>($B$34*Доходи!$D$30*Доходи!AN$21*Доходи!AN$22)+($B$35*Доходи!$D$31*Доходи!AN$21*Доходи!AN$22)+($B$36*Доходи!$D$32*Доходи!AN$21*Доходи!AN$22)+($B$37*Доходи!$D$33*Доходи!AN$21*Доходи!AN$22)+($B$38*Доходи!$D$34*Доходи!AN$21*Доходи!AN$22)+($B$39*Доходи!$D$35*Доходи!AN$21*Доходи!AN$22)+($B$40*Доходи!$D$36*Доходи!AN$21*Доходи!AN$22)</f>
        <v>640827.42264565395</v>
      </c>
      <c r="AO7" s="100">
        <f>($B$34*Доходи!$D$30*Доходи!AO$21*Доходи!AO$22)+($B$35*Доходи!$D$31*Доходи!AO$21*Доходи!AO$22)+($B$36*Доходи!$D$32*Доходи!AO$21*Доходи!AO$22)+($B$37*Доходи!$D$33*Доходи!AO$21*Доходи!AO$22)+($B$38*Доходи!$D$34*Доходи!AO$21*Доходи!AO$22)+($B$39*Доходи!$D$35*Доходи!AO$21*Доходи!AO$22)+($B$40*Доходи!$D$36*Доходи!AO$21*Доходи!AO$22)</f>
        <v>428286.32746817864</v>
      </c>
      <c r="AP7" s="100">
        <f>($B$34*Доходи!$D$30*Доходи!AP$21*Доходи!AP$22)+($B$35*Доходи!$D$31*Доходи!AP$21*Доходи!AP$22)+($B$36*Доходи!$D$32*Доходи!AP$21*Доходи!AP$22)+($B$37*Доходи!$D$33*Доходи!AP$21*Доходи!AP$22)+($B$38*Доходи!$D$34*Доходи!AP$21*Доходи!AP$22)+($B$39*Доходи!$D$35*Доходи!AP$21*Доходи!AP$22)+($B$40*Доходи!$D$36*Доходи!AP$21*Доходи!AP$22)</f>
        <v>343485.63462947932</v>
      </c>
      <c r="AQ7" s="100">
        <f>($B$34*Доходи!$D$30*Доходи!AQ$21*Доходи!AQ$22)+($B$35*Доходи!$D$31*Доходи!AQ$21*Доходи!AQ$22)+($B$36*Доходи!$D$32*Доходи!AQ$21*Доходи!AQ$22)+($B$37*Доходи!$D$33*Доходи!AQ$21*Доходи!AQ$22)+($B$38*Доходи!$D$34*Доходи!AQ$21*Доходи!AQ$22)+($B$39*Доходи!$D$35*Доходи!AQ$21*Доходи!AQ$22)+($B$40*Доходи!$D$36*Доходи!AQ$21*Доходи!AQ$22)</f>
        <v>430430.43589506618</v>
      </c>
      <c r="AR7" s="100">
        <f>($B$34*Доходи!$D$30*Доходи!AR$21*Доходи!AR$22)+($B$35*Доходи!$D$31*Доходи!AR$21*Доходи!AR$22)+($B$36*Доходи!$D$32*Доходи!AR$21*Доходи!AR$22)+($B$37*Доходи!$D$33*Доходи!AR$21*Доходи!AR$22)+($B$38*Доходи!$D$34*Доходи!AR$21*Доходи!AR$22)+($B$39*Доходи!$D$35*Доходи!AR$21*Доходи!AR$22)+($B$40*Доходи!$D$36*Доходи!AR$21*Доходи!AR$22)</f>
        <v>431506.51198480383</v>
      </c>
      <c r="AS7" s="100">
        <f>($B$34*Доходи!$D$30*Доходи!AS$21*Доходи!AS$22)+($B$35*Доходи!$D$31*Доходи!AS$21*Доходи!AS$22)+($B$36*Доходи!$D$32*Доходи!AS$21*Доходи!AS$22)+($B$37*Доходи!$D$33*Доходи!AS$21*Доходи!AS$22)+($B$38*Доходи!$D$34*Доходи!AS$21*Доходи!AS$22)+($B$39*Доходи!$D$35*Доходи!AS$21*Доходи!AS$22)+($B$40*Доходи!$D$36*Доходи!AS$21*Доходи!AS$22)</f>
        <v>432585.27826476586</v>
      </c>
      <c r="AT7" s="100">
        <f>($B$34*Доходи!$D$30*Доходи!AT$21*Доходи!AT$22)+($B$35*Доходи!$D$31*Доходи!AT$21*Доходи!AT$22)+($B$36*Доходи!$D$32*Доходи!AT$21*Доходи!AT$22)+($B$37*Доходи!$D$33*Доходи!AT$21*Доходи!AT$22)+($B$38*Доходи!$D$34*Доходи!AT$21*Доходи!AT$22)+($B$39*Доходи!$D$35*Доходи!AT$21*Доходи!AT$22)+($B$40*Доходи!$D$36*Доходи!AT$21*Доходи!AT$22)</f>
        <v>433666.7414604277</v>
      </c>
      <c r="AU7" s="100">
        <f>($B$34*Доходи!$D$30*Доходи!AU$21*Доходи!AU$22)+($B$35*Доходи!$D$31*Доходи!AU$21*Доходи!AU$22)+($B$36*Доходи!$D$32*Доходи!AU$21*Доходи!AU$22)+($B$37*Доходи!$D$33*Доходи!AU$21*Доходи!AU$22)+($B$38*Доходи!$D$34*Доходи!AU$21*Доходи!AU$22)+($B$39*Доходи!$D$35*Доходи!AU$21*Доходи!AU$22)+($B$40*Доходи!$D$36*Доходи!AU$21*Доходи!AU$22)</f>
        <v>347800.72665126296</v>
      </c>
      <c r="AV7" s="100">
        <f>($B$34*Доходи!$D$30*Доходи!AV$21*Доходи!AV$22)+($B$35*Доходи!$D$31*Доходи!AV$21*Доходи!AV$22)+($B$36*Доходи!$D$32*Доходи!AV$21*Доходи!AV$22)+($B$37*Доходи!$D$33*Доходи!AV$21*Доходи!AV$22)+($B$38*Доходи!$D$34*Доходи!AV$21*Доходи!AV$22)+($B$39*Доходи!$D$35*Доходи!AV$21*Доходи!AV$22)+($B$40*Доходи!$D$36*Доходи!AV$21*Доходи!AV$22)</f>
        <v>435837.78558486392</v>
      </c>
      <c r="AW7" s="100">
        <f>($B$34*Доходи!$D$30*Доходи!AW$21*Доходи!AW$22)+($B$35*Доходи!$D$31*Доходи!AW$21*Доходи!AW$22)+($B$36*Доходи!$D$32*Доходи!AW$21*Доходи!AW$22)+($B$37*Доходи!$D$33*Доходи!AW$21*Доходи!AW$22)+($B$38*Доходи!$D$34*Доходи!AW$21*Доходи!AW$22)+($B$39*Доходи!$D$35*Доходи!AW$21*Доходи!AW$22)+($B$40*Доходи!$D$36*Доходи!AW$21*Доходи!AW$22)</f>
        <v>436927.38004882599</v>
      </c>
      <c r="AX7" s="100">
        <f>($B$34*Доходи!$D$30*Доходи!AX$21*Доходи!AX$22)+($B$35*Доходи!$D$31*Доходи!AX$21*Доходи!AX$22)+($B$36*Доходи!$D$32*Доходи!AX$21*Доходи!AX$22)+($B$37*Доходи!$D$33*Доходи!AX$21*Доходи!AX$22)+($B$38*Доходи!$D$34*Доходи!AX$21*Доходи!AX$22)+($B$39*Доходи!$D$35*Доходи!AX$21*Доходи!AX$22)+($B$40*Доходи!$D$36*Доходи!AX$21*Доходи!AX$22)</f>
        <v>438019.69849894801</v>
      </c>
      <c r="AY7" s="100">
        <f>($B$34*Доходи!$D$30*Доходи!AY$21*Доходи!AY$22)+($B$35*Доходи!$D$31*Доходи!AY$21*Доходи!AY$22)+($B$36*Доходи!$D$32*Доходи!AY$21*Доходи!AY$22)+($B$37*Доходи!$D$33*Доходи!AY$21*Доходи!AY$22)+($B$38*Доходи!$D$34*Доходи!AY$21*Доходи!AY$22)+($B$39*Доходи!$D$35*Доходи!AY$21*Доходи!AY$22)+($B$40*Доходи!$D$36*Доходи!AY$21*Доходи!AY$22)</f>
        <v>878229.49549039069</v>
      </c>
      <c r="AZ7" s="100">
        <f>($B$34*Доходи!$D$30*Доходи!AZ$21*Доходи!AZ$22)+($B$35*Доходи!$D$31*Доходи!AZ$21*Доходи!AZ$22)+($B$36*Доходи!$D$32*Доходи!AZ$21*Доходи!AZ$22)+($B$37*Доходи!$D$33*Доходи!AZ$21*Доходи!AZ$22)+($B$38*Доходи!$D$34*Доходи!AZ$21*Доходи!AZ$22)+($B$39*Доходи!$D$35*Доходи!AZ$21*Доходи!AZ$22)+($B$40*Доходи!$D$36*Доходи!AZ$21*Доходи!AZ$22)</f>
        <v>660318.80192183738</v>
      </c>
      <c r="BA7" s="100">
        <f>($B$34*Доходи!$D$30*Доходи!BA$21*Доходи!BA$22)+($B$35*Доходи!$D$31*Доходи!BA$21*Доходи!BA$22)+($B$36*Доходи!$D$32*Доходи!BA$21*Доходи!BA$22)+($B$37*Доходи!$D$33*Доходи!BA$21*Доходи!BA$22)+($B$38*Доходи!$D$34*Доходи!BA$21*Доходи!BA$22)+($B$39*Доходи!$D$35*Доходи!BA$21*Доходи!BA$22)+($B$40*Доходи!$D$36*Доходи!BA$21*Доходи!BA$22)</f>
        <v>441313.06595109467</v>
      </c>
      <c r="BB7" s="100">
        <f>($B$34*Доходи!$D$30*Доходи!BB$21*Доходи!BB$22)+($B$35*Доходи!$D$31*Доходи!BB$21*Доходи!BB$22)+($B$36*Доходи!$D$32*Доходи!BB$21*Доходи!BB$22)+($B$37*Доходи!$D$33*Доходи!BB$21*Доходи!BB$22)+($B$38*Доходи!$D$34*Доходи!BB$21*Доходи!BB$22)+($B$39*Доходи!$D$35*Доходи!BB$21*Доходи!BB$22)+($B$40*Доходи!$D$36*Доходи!BB$21*Доходи!BB$22)</f>
        <v>353933.07889277791</v>
      </c>
      <c r="BC7" s="100">
        <f>($B$34*Доходи!$D$30*Доходи!BC$21*Доходи!BC$22)+($B$35*Доходи!$D$31*Доходи!BC$21*Доходи!BC$22)+($B$36*Доходи!$D$32*Доходи!BC$21*Доходи!BC$22)+($B$37*Доходи!$D$33*Доходи!BC$21*Доходи!BC$22)+($B$38*Доходи!$D$34*Доходи!BC$21*Доходи!BC$22)+($B$39*Доходи!$D$35*Доходи!BC$21*Доходи!BC$22)+($B$40*Доходи!$D$36*Доходи!BC$21*Доходи!BC$22)</f>
        <v>443522.38948751224</v>
      </c>
      <c r="BD7" s="100">
        <f>($B$34*Доходи!$D$30*Доходи!BD$21*Доходи!BD$22)+($B$35*Доходи!$D$31*Доходи!BD$21*Доходи!BD$22)+($B$36*Доходи!$D$32*Доходи!BD$21*Доходи!BD$22)+($B$37*Доходи!$D$33*Доходи!BD$21*Доходи!BD$22)+($B$38*Доходи!$D$34*Доходи!BD$21*Доходи!BD$22)+($B$39*Доходи!$D$35*Доходи!BD$21*Доходи!BD$22)+($B$40*Доходи!$D$36*Доходи!BD$21*Доходи!BD$22)</f>
        <v>444631.19546123105</v>
      </c>
      <c r="BE7" s="100">
        <f>($B$34*Доходи!$D$30*Доходи!BE$21*Доходи!BE$22)+($B$35*Доходи!$D$31*Доходи!BE$21*Доходи!BE$22)+($B$36*Доходи!$D$32*Доходи!BE$21*Доходи!BE$22)+($B$37*Доходи!$D$33*Доходи!BE$21*Доходи!BE$22)+($B$38*Доходи!$D$34*Доходи!BE$21*Доходи!BE$22)+($B$39*Доходи!$D$35*Доходи!BE$21*Доходи!BE$22)+($B$40*Доходи!$D$36*Доходи!BE$21*Доходи!BE$22)</f>
        <v>445742.77344988415</v>
      </c>
      <c r="BF7" s="100">
        <f>($B$34*Доходи!$D$30*Доходи!BF$21*Доходи!BF$22)+($B$35*Доходи!$D$31*Доходи!BF$21*Доходи!BF$22)+($B$36*Доходи!$D$32*Доходи!BF$21*Доходи!BF$22)+($B$37*Доходи!$D$33*Доходи!BF$21*Доходи!BF$22)+($B$38*Доходи!$D$34*Доходи!BF$21*Доходи!BF$22)+($B$39*Доходи!$D$35*Доходи!BF$21*Доходи!BF$22)+($B$40*Доходи!$D$36*Доходи!BF$21*Доходи!BF$22)</f>
        <v>446857.13038350898</v>
      </c>
      <c r="BG7" s="100">
        <f>($B$34*Доходи!$D$30*Доходи!BG$21*Доходи!BG$22)+($B$35*Доходи!$D$31*Доходи!BG$21*Доходи!BG$22)+($B$36*Доходи!$D$32*Доходи!BG$21*Доходи!BG$22)+($B$37*Доходи!$D$33*Доходи!BG$21*Доходи!BG$22)+($B$38*Доходи!$D$34*Доходи!BG$21*Доходи!BG$22)+($B$39*Доходи!$D$35*Доходи!BG$21*Доходи!BG$22)+($B$40*Доходи!$D$36*Доходи!BG$21*Доходи!BG$22)</f>
        <v>358379.41856757412</v>
      </c>
      <c r="BH7" s="100">
        <f>($B$34*Доходи!$D$30*Доходи!BH$21*Доходи!BH$22)+($B$35*Доходи!$D$31*Доходи!BH$21*Доходи!BH$22)+($B$36*Доходи!$D$32*Доходи!BH$21*Доходи!BH$22)+($B$37*Доходи!$D$33*Доходи!BH$21*Доходи!BH$22)+($B$38*Доходи!$D$34*Доходи!BH$21*Доходи!BH$22)+($B$39*Доходи!$D$35*Доходи!BH$21*Доходи!BH$22)+($B$40*Доходи!$D$36*Доходи!BH$21*Доходи!BH$22)</f>
        <v>449094.20889249118</v>
      </c>
      <c r="BI7" s="100">
        <f>($B$34*Доходи!$D$30*Доходи!BI$21*Доходи!BI$22)+($B$35*Доходи!$D$31*Доходи!BI$21*Доходи!BI$22)+($B$36*Доходи!$D$32*Доходи!BI$21*Доходи!BI$22)+($B$37*Доходи!$D$33*Доходи!BI$21*Доходи!BI$22)+($B$38*Доходи!$D$34*Доходи!BI$21*Доходи!BI$22)+($B$39*Доходи!$D$35*Доходи!BI$21*Доходи!BI$22)+($B$40*Доходи!$D$36*Доходи!BI$21*Доходи!BI$22)</f>
        <v>450216.9444147225</v>
      </c>
      <c r="BJ7" s="100">
        <f>($B$34*Доходи!$D$30*Доходи!BJ$21*Доходи!BJ$22)+($B$35*Доходи!$D$31*Доходи!BJ$21*Доходи!BJ$22)+($B$36*Доходи!$D$32*Доходи!BJ$21*Доходи!BJ$22)+($B$37*Доходи!$D$33*Доходи!BJ$21*Доходи!BJ$22)+($B$38*Доходи!$D$34*Доходи!BJ$21*Доходи!BJ$22)+($B$39*Доходи!$D$35*Доходи!BJ$21*Доходи!BJ$22)+($B$40*Доходи!$D$36*Доходи!BJ$21*Доходи!BJ$22)</f>
        <v>451342.4867757592</v>
      </c>
    </row>
    <row r="8" spans="1:62" s="328" customFormat="1" ht="12">
      <c r="A8" s="391" t="s">
        <v>300</v>
      </c>
      <c r="B8" s="100">
        <f t="shared" si="1"/>
        <v>701827.27386843751</v>
      </c>
      <c r="C8" s="100">
        <f>$B$41*Доходи!$D$37*Доходи!C$21*Доходи!C$22</f>
        <v>19918.8</v>
      </c>
      <c r="D8" s="100">
        <f>$B$41*Доходи!$D$37*Доходи!D$21*Доходи!D$22</f>
        <v>14976.447750000001</v>
      </c>
      <c r="E8" s="100">
        <f>$B$41*Доходи!$D$37*Доходи!E$21*Доходи!E$22</f>
        <v>10009.259246250002</v>
      </c>
      <c r="F8" s="100">
        <f>$B$41*Доходи!$D$37*Доходи!F$21*Доходи!F$22</f>
        <v>8027.4259154924994</v>
      </c>
      <c r="G8" s="100">
        <f>$B$41*Доходи!$D$37*Доходи!G$21*Доходи!G$22</f>
        <v>10059.368100351538</v>
      </c>
      <c r="H8" s="100">
        <f>$B$41*Доходи!$D$37*Доходи!H$21*Доходи!H$22</f>
        <v>10084.516520602416</v>
      </c>
      <c r="I8" s="100">
        <f>$B$41*Доходи!$D$37*Доходи!I$21*Доходи!I$22</f>
        <v>10109.727811903922</v>
      </c>
      <c r="J8" s="100">
        <f>$B$41*Доходи!$D$37*Доходи!J$21*Доходи!J$22</f>
        <v>10135.002131433683</v>
      </c>
      <c r="K8" s="100">
        <f>$B$41*Доходи!$D$37*Доходи!K$21*Доходи!K$22</f>
        <v>8128.2717094098134</v>
      </c>
      <c r="L8" s="100">
        <f>$B$41*Доходи!$D$37*Доходи!L$21*Доходи!L$22</f>
        <v>10185.74048585417</v>
      </c>
      <c r="M8" s="100">
        <f>$B$41*Доходи!$D$37*Доходи!M$21*Доходи!M$22</f>
        <v>10211.204837068804</v>
      </c>
      <c r="N8" s="100">
        <f>$B$41*Доходи!$D$37*Доходи!N$21*Доходи!N$22</f>
        <v>10236.732849161477</v>
      </c>
      <c r="O8" s="100">
        <f>$B$41*Доходи!$D$37*Доходи!O$21*Доходи!O$22</f>
        <v>20524.649362568758</v>
      </c>
      <c r="P8" s="100">
        <f>$B$41*Доходи!$D$37*Доходи!P$21*Доходи!P$22</f>
        <v>15431.970739481385</v>
      </c>
      <c r="Q8" s="100">
        <f>$B$41*Доходи!$D$37*Доходи!Q$21*Доходи!Q$22</f>
        <v>10313.700444220058</v>
      </c>
      <c r="R8" s="100">
        <f>$B$41*Доходи!$D$37*Доходи!R$21*Доходи!R$22</f>
        <v>8271.5877562644873</v>
      </c>
      <c r="S8" s="100">
        <f>$B$41*Доходи!$D$37*Доходи!S$21*Доходи!S$22</f>
        <v>10365.333407068933</v>
      </c>
      <c r="T8" s="100">
        <f>$B$41*Доходи!$D$37*Доходи!T$21*Доходи!T$22</f>
        <v>10391.246740586605</v>
      </c>
      <c r="U8" s="100">
        <f>$B$41*Доходи!$D$37*Доходи!U$21*Доходи!U$22</f>
        <v>10417.22485743807</v>
      </c>
      <c r="V8" s="100">
        <f>$B$41*Доходи!$D$37*Доходи!V$21*Доходи!V$22</f>
        <v>10443.267919581664</v>
      </c>
      <c r="W8" s="100">
        <f>$B$41*Доходи!$D$37*Доходи!W$21*Доходи!W$22</f>
        <v>8375.5008715044951</v>
      </c>
      <c r="X8" s="100">
        <f>$B$41*Доходи!$D$37*Доходи!X$21*Доходи!X$22</f>
        <v>10495.549529604068</v>
      </c>
      <c r="Y8" s="100">
        <f>$B$41*Доходи!$D$37*Доходи!Y$21*Доходи!Y$22</f>
        <v>10521.78840342808</v>
      </c>
      <c r="Z8" s="100">
        <f>$B$41*Доходи!$D$37*Доходи!Z$21*Доходи!Z$22</f>
        <v>10548.092874436648</v>
      </c>
      <c r="AA8" s="100">
        <f>$B$41*Доходи!$D$37*Доходи!AA$21*Доходи!AA$22</f>
        <v>21148.926213245479</v>
      </c>
      <c r="AB8" s="100">
        <f>$B$41*Доходи!$D$37*Доходи!AB$21*Доходи!AB$22</f>
        <v>15901.348896583944</v>
      </c>
      <c r="AC8" s="100">
        <f>$B$41*Доходи!$D$37*Доходи!AC$21*Доходи!AC$22</f>
        <v>10627.401512550268</v>
      </c>
      <c r="AD8" s="100">
        <f>$B$41*Доходи!$D$37*Доходи!AD$21*Доходи!AD$22</f>
        <v>8523.1760130653165</v>
      </c>
      <c r="AE8" s="100">
        <f>$B$41*Доходи!$D$37*Доходи!AE$21*Доходи!AE$22</f>
        <v>10680.604941372472</v>
      </c>
      <c r="AF8" s="100">
        <f>$B$41*Доходи!$D$37*Доходи!AF$21*Доходи!AF$22</f>
        <v>10707.306453725905</v>
      </c>
      <c r="AG8" s="100">
        <f>$B$41*Доходи!$D$37*Доходи!AG$21*Доходи!AG$22</f>
        <v>10734.07471986022</v>
      </c>
      <c r="AH8" s="100">
        <f>$B$41*Доходи!$D$37*Доходи!AH$21*Доходи!AH$22</f>
        <v>10760.90990665987</v>
      </c>
      <c r="AI8" s="100">
        <f>$B$41*Доходи!$D$37*Доходи!AI$21*Доходи!AI$22</f>
        <v>8630.2497451412164</v>
      </c>
      <c r="AJ8" s="100">
        <f>$B$41*Доходи!$D$37*Доходи!AJ$21*Доходи!AJ$22</f>
        <v>10814.781711880085</v>
      </c>
      <c r="AK8" s="100">
        <f>$B$41*Доходи!$D$37*Доходи!AK$21*Доходи!AK$22</f>
        <v>10841.818666159785</v>
      </c>
      <c r="AL8" s="100">
        <f>$B$41*Доходи!$D$37*Доходи!AL$21*Доходи!AL$22</f>
        <v>10868.923212825184</v>
      </c>
      <c r="AM8" s="100">
        <f>$B$41*Доходи!$D$37*Доходи!AM$21*Доходи!AM$22</f>
        <v>21792.19104171449</v>
      </c>
      <c r="AN8" s="100">
        <f>$B$41*Доходи!$D$37*Доходи!AN$21*Доходи!AN$22</f>
        <v>16385.003639489081</v>
      </c>
      <c r="AO8" s="100">
        <f>$B$41*Доходи!$D$37*Доходи!AO$21*Доходи!AO$22</f>
        <v>10950.644099058534</v>
      </c>
      <c r="AP8" s="100">
        <f>$B$41*Доходи!$D$37*Доходи!AP$21*Доходи!AP$22</f>
        <v>8782.4165674449432</v>
      </c>
      <c r="AQ8" s="100">
        <f>$B$41*Доходи!$D$37*Доходи!AQ$21*Доходи!AQ$22</f>
        <v>11005.465761079444</v>
      </c>
      <c r="AR8" s="100">
        <f>$B$41*Доходи!$D$37*Доходи!AR$21*Доходи!AR$22</f>
        <v>11032.979425482141</v>
      </c>
      <c r="AS8" s="100">
        <f>$B$41*Доходи!$D$37*Доходи!AS$21*Доходи!AS$22</f>
        <v>11060.561874045845</v>
      </c>
      <c r="AT8" s="100">
        <f>$B$41*Доходи!$D$37*Доходи!AT$21*Доходи!AT$22</f>
        <v>11088.21327873096</v>
      </c>
      <c r="AU8" s="100">
        <f>$B$41*Доходи!$D$37*Доходи!AU$21*Доходи!AU$22</f>
        <v>8892.7470495422294</v>
      </c>
      <c r="AV8" s="100">
        <f>$B$41*Доходи!$D$37*Доходи!AV$21*Доходи!AV$22</f>
        <v>11143.723646457605</v>
      </c>
      <c r="AW8" s="100">
        <f>$B$41*Доходи!$D$37*Доходи!AW$21*Доходи!AW$22</f>
        <v>11171.582955573749</v>
      </c>
      <c r="AX8" s="100">
        <f>$B$41*Доходи!$D$37*Доходи!AX$21*Доходи!AX$22</f>
        <v>11199.511912962684</v>
      </c>
      <c r="AY8" s="100">
        <f>$B$41*Доходи!$D$37*Доходи!AY$21*Доходи!AY$22</f>
        <v>22455.021385490174</v>
      </c>
      <c r="AZ8" s="100">
        <f>$B$41*Доходи!$D$37*Доходи!AZ$21*Доходи!AZ$22</f>
        <v>16883.369204215425</v>
      </c>
      <c r="BA8" s="100">
        <f>$B$41*Доходи!$D$37*Доходи!BA$21*Доходи!BA$22</f>
        <v>11283.71841815064</v>
      </c>
      <c r="BB8" s="100">
        <f>$B$41*Доходи!$D$37*Доходи!BB$21*Доходи!BB$22</f>
        <v>9049.5421713568139</v>
      </c>
      <c r="BC8" s="100">
        <f>$B$41*Доходи!$D$37*Доходи!BC$21*Доходи!BC$22</f>
        <v>11340.207533481507</v>
      </c>
      <c r="BD8" s="100">
        <f>$B$41*Доходи!$D$37*Доходи!BD$21*Доходи!BD$22</f>
        <v>11368.558052315211</v>
      </c>
      <c r="BE8" s="100">
        <f>$B$41*Доходи!$D$37*Доходи!BE$21*Доходи!BE$22</f>
        <v>11396.979447445998</v>
      </c>
      <c r="BF8" s="100">
        <f>$B$41*Доходи!$D$37*Доходи!BF$21*Доходи!BF$22</f>
        <v>11425.471896064613</v>
      </c>
      <c r="BG8" s="100">
        <f>$B$41*Доходи!$D$37*Доходи!BG$21*Доходи!BG$22</f>
        <v>9163.2284606438188</v>
      </c>
      <c r="BH8" s="100">
        <f>$B$41*Доходи!$D$37*Доходи!BH$21*Доходи!BH$22</f>
        <v>11482.670664744284</v>
      </c>
      <c r="BI8" s="100">
        <f>$B$41*Доходи!$D$37*Доходи!BI$21*Доходи!BI$22</f>
        <v>11511.377341406147</v>
      </c>
      <c r="BJ8" s="100">
        <f>$B$41*Доходи!$D$37*Доходи!BJ$21*Доходи!BJ$22</f>
        <v>11540.15578475966</v>
      </c>
    </row>
    <row r="9" spans="1:62" s="396" customFormat="1">
      <c r="A9" s="394" t="s">
        <v>159</v>
      </c>
      <c r="B9" s="395">
        <f>SUM(C9:BJ9)</f>
        <v>17408801.9345688</v>
      </c>
      <c r="C9" s="395">
        <f t="shared" ref="C9:AL9" si="2">SUM(C10:C25)</f>
        <v>278358.15000000002</v>
      </c>
      <c r="D9" s="395">
        <f t="shared" si="2"/>
        <v>278358.15000000002</v>
      </c>
      <c r="E9" s="395">
        <f t="shared" si="2"/>
        <v>278358.15000000002</v>
      </c>
      <c r="F9" s="395">
        <f t="shared" si="2"/>
        <v>278358.15000000002</v>
      </c>
      <c r="G9" s="395">
        <f t="shared" si="2"/>
        <v>278358.15000000002</v>
      </c>
      <c r="H9" s="395">
        <f t="shared" si="2"/>
        <v>278358.15000000002</v>
      </c>
      <c r="I9" s="395">
        <f t="shared" si="2"/>
        <v>278358.15000000002</v>
      </c>
      <c r="J9" s="395">
        <f t="shared" si="2"/>
        <v>278358.15000000002</v>
      </c>
      <c r="K9" s="395">
        <f t="shared" si="2"/>
        <v>278358.15000000002</v>
      </c>
      <c r="L9" s="395">
        <f t="shared" si="2"/>
        <v>278358.15000000002</v>
      </c>
      <c r="M9" s="395">
        <f t="shared" si="2"/>
        <v>278358.15000000002</v>
      </c>
      <c r="N9" s="395">
        <f t="shared" si="2"/>
        <v>278358.15000000002</v>
      </c>
      <c r="O9" s="395">
        <f t="shared" si="2"/>
        <v>280002.45</v>
      </c>
      <c r="P9" s="395">
        <f t="shared" si="2"/>
        <v>280002.45</v>
      </c>
      <c r="Q9" s="395">
        <f t="shared" si="2"/>
        <v>280002.45</v>
      </c>
      <c r="R9" s="395">
        <f t="shared" si="2"/>
        <v>280002.45</v>
      </c>
      <c r="S9" s="395">
        <f t="shared" si="2"/>
        <v>280002.45</v>
      </c>
      <c r="T9" s="395">
        <f t="shared" si="2"/>
        <v>280002.45</v>
      </c>
      <c r="U9" s="395">
        <f t="shared" si="2"/>
        <v>280002.45</v>
      </c>
      <c r="V9" s="395">
        <f t="shared" si="2"/>
        <v>280002.45</v>
      </c>
      <c r="W9" s="395">
        <f t="shared" si="2"/>
        <v>280002.45</v>
      </c>
      <c r="X9" s="395">
        <f t="shared" si="2"/>
        <v>280002.45</v>
      </c>
      <c r="Y9" s="395">
        <f t="shared" si="2"/>
        <v>280002.45</v>
      </c>
      <c r="Z9" s="395">
        <f t="shared" si="2"/>
        <v>280002.45</v>
      </c>
      <c r="AA9" s="395">
        <f t="shared" si="2"/>
        <v>288745.08600000001</v>
      </c>
      <c r="AB9" s="395">
        <f t="shared" si="2"/>
        <v>288745.08600000001</v>
      </c>
      <c r="AC9" s="395">
        <f t="shared" si="2"/>
        <v>288745.08600000001</v>
      </c>
      <c r="AD9" s="395">
        <f t="shared" si="2"/>
        <v>288745.08600000001</v>
      </c>
      <c r="AE9" s="395">
        <f t="shared" si="2"/>
        <v>288745.08600000001</v>
      </c>
      <c r="AF9" s="395">
        <f t="shared" si="2"/>
        <v>288745.08600000001</v>
      </c>
      <c r="AG9" s="395">
        <f t="shared" si="2"/>
        <v>288745.08600000001</v>
      </c>
      <c r="AH9" s="395">
        <f t="shared" si="2"/>
        <v>288745.08600000001</v>
      </c>
      <c r="AI9" s="395">
        <f t="shared" si="2"/>
        <v>288745.08600000001</v>
      </c>
      <c r="AJ9" s="395">
        <f t="shared" si="2"/>
        <v>288745.08600000001</v>
      </c>
      <c r="AK9" s="395">
        <f t="shared" si="2"/>
        <v>288745.08600000001</v>
      </c>
      <c r="AL9" s="395">
        <f t="shared" si="2"/>
        <v>288745.08600000001</v>
      </c>
      <c r="AM9" s="395">
        <f t="shared" ref="AM9:AX9" si="3">SUM(AM10:AM25)</f>
        <v>297332.59878</v>
      </c>
      <c r="AN9" s="395">
        <f t="shared" si="3"/>
        <v>297332.59878</v>
      </c>
      <c r="AO9" s="395">
        <f t="shared" si="3"/>
        <v>297332.59878</v>
      </c>
      <c r="AP9" s="395">
        <f t="shared" si="3"/>
        <v>297332.59878</v>
      </c>
      <c r="AQ9" s="395">
        <f t="shared" si="3"/>
        <v>297332.59878</v>
      </c>
      <c r="AR9" s="395">
        <f t="shared" si="3"/>
        <v>297332.59878</v>
      </c>
      <c r="AS9" s="395">
        <f t="shared" si="3"/>
        <v>297332.59878</v>
      </c>
      <c r="AT9" s="395">
        <f t="shared" si="3"/>
        <v>297332.59878</v>
      </c>
      <c r="AU9" s="395">
        <f t="shared" si="3"/>
        <v>297332.59878</v>
      </c>
      <c r="AV9" s="395">
        <f t="shared" si="3"/>
        <v>297332.59878</v>
      </c>
      <c r="AW9" s="395">
        <f t="shared" si="3"/>
        <v>297332.59878</v>
      </c>
      <c r="AX9" s="395">
        <f t="shared" si="3"/>
        <v>297332.59878</v>
      </c>
      <c r="AY9" s="395">
        <f t="shared" ref="AY9" si="4">SUM(AY10:AY25)</f>
        <v>306295.20976740005</v>
      </c>
      <c r="AZ9" s="395">
        <f t="shared" ref="AZ9" si="5">SUM(AZ10:AZ25)</f>
        <v>306295.20976740005</v>
      </c>
      <c r="BA9" s="395">
        <f t="shared" ref="BA9" si="6">SUM(BA10:BA25)</f>
        <v>306295.20976740005</v>
      </c>
      <c r="BB9" s="395">
        <f t="shared" ref="BB9" si="7">SUM(BB10:BB25)</f>
        <v>306295.20976740005</v>
      </c>
      <c r="BC9" s="395">
        <f t="shared" ref="BC9" si="8">SUM(BC10:BC25)</f>
        <v>306295.20976740005</v>
      </c>
      <c r="BD9" s="395">
        <f t="shared" ref="BD9" si="9">SUM(BD10:BD25)</f>
        <v>306295.20976740005</v>
      </c>
      <c r="BE9" s="395">
        <f t="shared" ref="BE9" si="10">SUM(BE10:BE25)</f>
        <v>306295.20976740005</v>
      </c>
      <c r="BF9" s="395">
        <f t="shared" ref="BF9" si="11">SUM(BF10:BF25)</f>
        <v>306295.20976740005</v>
      </c>
      <c r="BG9" s="395">
        <f t="shared" ref="BG9" si="12">SUM(BG10:BG25)</f>
        <v>306295.20976740005</v>
      </c>
      <c r="BH9" s="395">
        <f t="shared" ref="BH9" si="13">SUM(BH10:BH25)</f>
        <v>306295.20976740005</v>
      </c>
      <c r="BI9" s="395">
        <f t="shared" ref="BI9" si="14">SUM(BI10:BI25)</f>
        <v>306295.20976740005</v>
      </c>
      <c r="BJ9" s="395">
        <f t="shared" ref="BJ9" si="15">SUM(BJ10:BJ25)</f>
        <v>306295.20976740005</v>
      </c>
    </row>
    <row r="10" spans="1:62" s="329" customFormat="1" ht="12">
      <c r="A10" s="392" t="s">
        <v>149</v>
      </c>
      <c r="B10" s="100">
        <f>SUM(C10:BJ10)</f>
        <v>7073086.5</v>
      </c>
      <c r="C10" s="100">
        <f>$E$66</f>
        <v>111000</v>
      </c>
      <c r="D10" s="100">
        <f>$E$66</f>
        <v>111000</v>
      </c>
      <c r="E10" s="100">
        <f t="shared" ref="E10:N10" si="16">$E$66</f>
        <v>111000</v>
      </c>
      <c r="F10" s="100">
        <f t="shared" si="16"/>
        <v>111000</v>
      </c>
      <c r="G10" s="100">
        <f t="shared" si="16"/>
        <v>111000</v>
      </c>
      <c r="H10" s="100">
        <f t="shared" si="16"/>
        <v>111000</v>
      </c>
      <c r="I10" s="100">
        <f t="shared" si="16"/>
        <v>111000</v>
      </c>
      <c r="J10" s="100">
        <f t="shared" si="16"/>
        <v>111000</v>
      </c>
      <c r="K10" s="100">
        <f t="shared" si="16"/>
        <v>111000</v>
      </c>
      <c r="L10" s="100">
        <f t="shared" si="16"/>
        <v>111000</v>
      </c>
      <c r="M10" s="100">
        <f t="shared" si="16"/>
        <v>111000</v>
      </c>
      <c r="N10" s="100">
        <f t="shared" si="16"/>
        <v>111000</v>
      </c>
      <c r="O10" s="100">
        <f>$N$10</f>
        <v>111000</v>
      </c>
      <c r="P10" s="100">
        <f t="shared" ref="P10:Z10" si="17">$N$10</f>
        <v>111000</v>
      </c>
      <c r="Q10" s="100">
        <f t="shared" si="17"/>
        <v>111000</v>
      </c>
      <c r="R10" s="100">
        <f t="shared" si="17"/>
        <v>111000</v>
      </c>
      <c r="S10" s="100">
        <f t="shared" si="17"/>
        <v>111000</v>
      </c>
      <c r="T10" s="100">
        <f t="shared" si="17"/>
        <v>111000</v>
      </c>
      <c r="U10" s="100">
        <f t="shared" si="17"/>
        <v>111000</v>
      </c>
      <c r="V10" s="100">
        <f t="shared" si="17"/>
        <v>111000</v>
      </c>
      <c r="W10" s="100">
        <f t="shared" si="17"/>
        <v>111000</v>
      </c>
      <c r="X10" s="100">
        <f t="shared" si="17"/>
        <v>111000</v>
      </c>
      <c r="Y10" s="100">
        <f t="shared" si="17"/>
        <v>111000</v>
      </c>
      <c r="Z10" s="100">
        <f t="shared" si="17"/>
        <v>111000</v>
      </c>
      <c r="AA10" s="100">
        <f>$Z$10*1.05</f>
        <v>116550</v>
      </c>
      <c r="AB10" s="100">
        <f t="shared" ref="AB10:AL10" si="18">$Z$10*1.05</f>
        <v>116550</v>
      </c>
      <c r="AC10" s="100">
        <f t="shared" si="18"/>
        <v>116550</v>
      </c>
      <c r="AD10" s="100">
        <f t="shared" si="18"/>
        <v>116550</v>
      </c>
      <c r="AE10" s="100">
        <f t="shared" si="18"/>
        <v>116550</v>
      </c>
      <c r="AF10" s="100">
        <f t="shared" si="18"/>
        <v>116550</v>
      </c>
      <c r="AG10" s="100">
        <f t="shared" si="18"/>
        <v>116550</v>
      </c>
      <c r="AH10" s="100">
        <f t="shared" si="18"/>
        <v>116550</v>
      </c>
      <c r="AI10" s="100">
        <f t="shared" si="18"/>
        <v>116550</v>
      </c>
      <c r="AJ10" s="100">
        <f t="shared" si="18"/>
        <v>116550</v>
      </c>
      <c r="AK10" s="100">
        <f t="shared" si="18"/>
        <v>116550</v>
      </c>
      <c r="AL10" s="100">
        <f t="shared" si="18"/>
        <v>116550</v>
      </c>
      <c r="AM10" s="100">
        <f>$AL$10*1.05</f>
        <v>122377.5</v>
      </c>
      <c r="AN10" s="100">
        <f t="shared" ref="AN10:AX10" si="19">$AL$10*1.05</f>
        <v>122377.5</v>
      </c>
      <c r="AO10" s="100">
        <f t="shared" si="19"/>
        <v>122377.5</v>
      </c>
      <c r="AP10" s="100">
        <f t="shared" si="19"/>
        <v>122377.5</v>
      </c>
      <c r="AQ10" s="100">
        <f t="shared" si="19"/>
        <v>122377.5</v>
      </c>
      <c r="AR10" s="100">
        <f t="shared" si="19"/>
        <v>122377.5</v>
      </c>
      <c r="AS10" s="100">
        <f t="shared" si="19"/>
        <v>122377.5</v>
      </c>
      <c r="AT10" s="100">
        <f t="shared" si="19"/>
        <v>122377.5</v>
      </c>
      <c r="AU10" s="100">
        <f t="shared" si="19"/>
        <v>122377.5</v>
      </c>
      <c r="AV10" s="100">
        <f t="shared" si="19"/>
        <v>122377.5</v>
      </c>
      <c r="AW10" s="100">
        <f t="shared" si="19"/>
        <v>122377.5</v>
      </c>
      <c r="AX10" s="100">
        <f t="shared" si="19"/>
        <v>122377.5</v>
      </c>
      <c r="AY10" s="100">
        <f>$AX$10*1.05</f>
        <v>128496.375</v>
      </c>
      <c r="AZ10" s="100">
        <f t="shared" ref="AZ10:BJ10" si="20">$AX$10*1.05</f>
        <v>128496.375</v>
      </c>
      <c r="BA10" s="100">
        <f t="shared" si="20"/>
        <v>128496.375</v>
      </c>
      <c r="BB10" s="100">
        <f t="shared" si="20"/>
        <v>128496.375</v>
      </c>
      <c r="BC10" s="100">
        <f t="shared" si="20"/>
        <v>128496.375</v>
      </c>
      <c r="BD10" s="100">
        <f t="shared" si="20"/>
        <v>128496.375</v>
      </c>
      <c r="BE10" s="100">
        <f t="shared" si="20"/>
        <v>128496.375</v>
      </c>
      <c r="BF10" s="100">
        <f t="shared" si="20"/>
        <v>128496.375</v>
      </c>
      <c r="BG10" s="100">
        <f t="shared" si="20"/>
        <v>128496.375</v>
      </c>
      <c r="BH10" s="100">
        <f t="shared" si="20"/>
        <v>128496.375</v>
      </c>
      <c r="BI10" s="100">
        <f t="shared" si="20"/>
        <v>128496.375</v>
      </c>
      <c r="BJ10" s="100">
        <f t="shared" si="20"/>
        <v>128496.375</v>
      </c>
    </row>
    <row r="11" spans="1:62" s="329" customFormat="1" ht="12">
      <c r="A11" s="393" t="s">
        <v>151</v>
      </c>
      <c r="B11" s="100">
        <f>SUM(C11:BJ11)</f>
        <v>1556079.0299999993</v>
      </c>
      <c r="C11" s="100">
        <f>C10*0.22</f>
        <v>24420</v>
      </c>
      <c r="D11" s="100">
        <f t="shared" ref="D11:BJ11" si="21">D10*0.22</f>
        <v>24420</v>
      </c>
      <c r="E11" s="100">
        <f t="shared" si="21"/>
        <v>24420</v>
      </c>
      <c r="F11" s="100">
        <f t="shared" si="21"/>
        <v>24420</v>
      </c>
      <c r="G11" s="100">
        <f t="shared" si="21"/>
        <v>24420</v>
      </c>
      <c r="H11" s="100">
        <f t="shared" si="21"/>
        <v>24420</v>
      </c>
      <c r="I11" s="100">
        <f t="shared" si="21"/>
        <v>24420</v>
      </c>
      <c r="J11" s="100">
        <f t="shared" si="21"/>
        <v>24420</v>
      </c>
      <c r="K11" s="100">
        <f t="shared" si="21"/>
        <v>24420</v>
      </c>
      <c r="L11" s="100">
        <f t="shared" si="21"/>
        <v>24420</v>
      </c>
      <c r="M11" s="100">
        <f t="shared" si="21"/>
        <v>24420</v>
      </c>
      <c r="N11" s="100">
        <f t="shared" si="21"/>
        <v>24420</v>
      </c>
      <c r="O11" s="100">
        <f t="shared" si="21"/>
        <v>24420</v>
      </c>
      <c r="P11" s="100">
        <f t="shared" si="21"/>
        <v>24420</v>
      </c>
      <c r="Q11" s="100">
        <f t="shared" si="21"/>
        <v>24420</v>
      </c>
      <c r="R11" s="100">
        <f t="shared" si="21"/>
        <v>24420</v>
      </c>
      <c r="S11" s="100">
        <f t="shared" si="21"/>
        <v>24420</v>
      </c>
      <c r="T11" s="100">
        <f t="shared" si="21"/>
        <v>24420</v>
      </c>
      <c r="U11" s="100">
        <f t="shared" si="21"/>
        <v>24420</v>
      </c>
      <c r="V11" s="100">
        <f t="shared" si="21"/>
        <v>24420</v>
      </c>
      <c r="W11" s="100">
        <f t="shared" si="21"/>
        <v>24420</v>
      </c>
      <c r="X11" s="100">
        <f t="shared" si="21"/>
        <v>24420</v>
      </c>
      <c r="Y11" s="100">
        <f t="shared" si="21"/>
        <v>24420</v>
      </c>
      <c r="Z11" s="100">
        <f t="shared" si="21"/>
        <v>24420</v>
      </c>
      <c r="AA11" s="100">
        <f t="shared" si="21"/>
        <v>25641</v>
      </c>
      <c r="AB11" s="100">
        <f t="shared" si="21"/>
        <v>25641</v>
      </c>
      <c r="AC11" s="100">
        <f t="shared" si="21"/>
        <v>25641</v>
      </c>
      <c r="AD11" s="100">
        <f t="shared" si="21"/>
        <v>25641</v>
      </c>
      <c r="AE11" s="100">
        <f t="shared" si="21"/>
        <v>25641</v>
      </c>
      <c r="AF11" s="100">
        <f t="shared" si="21"/>
        <v>25641</v>
      </c>
      <c r="AG11" s="100">
        <f t="shared" si="21"/>
        <v>25641</v>
      </c>
      <c r="AH11" s="100">
        <f t="shared" si="21"/>
        <v>25641</v>
      </c>
      <c r="AI11" s="100">
        <f t="shared" si="21"/>
        <v>25641</v>
      </c>
      <c r="AJ11" s="100">
        <f t="shared" si="21"/>
        <v>25641</v>
      </c>
      <c r="AK11" s="100">
        <f t="shared" si="21"/>
        <v>25641</v>
      </c>
      <c r="AL11" s="100">
        <f t="shared" si="21"/>
        <v>25641</v>
      </c>
      <c r="AM11" s="100">
        <f t="shared" si="21"/>
        <v>26923.05</v>
      </c>
      <c r="AN11" s="100">
        <f t="shared" si="21"/>
        <v>26923.05</v>
      </c>
      <c r="AO11" s="100">
        <f t="shared" si="21"/>
        <v>26923.05</v>
      </c>
      <c r="AP11" s="100">
        <f t="shared" si="21"/>
        <v>26923.05</v>
      </c>
      <c r="AQ11" s="100">
        <f t="shared" si="21"/>
        <v>26923.05</v>
      </c>
      <c r="AR11" s="100">
        <f t="shared" si="21"/>
        <v>26923.05</v>
      </c>
      <c r="AS11" s="100">
        <f t="shared" si="21"/>
        <v>26923.05</v>
      </c>
      <c r="AT11" s="100">
        <f t="shared" si="21"/>
        <v>26923.05</v>
      </c>
      <c r="AU11" s="100">
        <f t="shared" si="21"/>
        <v>26923.05</v>
      </c>
      <c r="AV11" s="100">
        <f t="shared" si="21"/>
        <v>26923.05</v>
      </c>
      <c r="AW11" s="100">
        <f t="shared" si="21"/>
        <v>26923.05</v>
      </c>
      <c r="AX11" s="100">
        <f t="shared" si="21"/>
        <v>26923.05</v>
      </c>
      <c r="AY11" s="100">
        <f t="shared" si="21"/>
        <v>28269.202499999999</v>
      </c>
      <c r="AZ11" s="100">
        <f t="shared" si="21"/>
        <v>28269.202499999999</v>
      </c>
      <c r="BA11" s="100">
        <f t="shared" si="21"/>
        <v>28269.202499999999</v>
      </c>
      <c r="BB11" s="100">
        <f t="shared" si="21"/>
        <v>28269.202499999999</v>
      </c>
      <c r="BC11" s="100">
        <f t="shared" si="21"/>
        <v>28269.202499999999</v>
      </c>
      <c r="BD11" s="100">
        <f t="shared" si="21"/>
        <v>28269.202499999999</v>
      </c>
      <c r="BE11" s="100">
        <f t="shared" si="21"/>
        <v>28269.202499999999</v>
      </c>
      <c r="BF11" s="100">
        <f t="shared" si="21"/>
        <v>28269.202499999999</v>
      </c>
      <c r="BG11" s="100">
        <f t="shared" si="21"/>
        <v>28269.202499999999</v>
      </c>
      <c r="BH11" s="100">
        <f t="shared" si="21"/>
        <v>28269.202499999999</v>
      </c>
      <c r="BI11" s="100">
        <f t="shared" si="21"/>
        <v>28269.202499999999</v>
      </c>
      <c r="BJ11" s="100">
        <f t="shared" si="21"/>
        <v>28269.202499999999</v>
      </c>
    </row>
    <row r="12" spans="1:62" s="329" customFormat="1" ht="12">
      <c r="A12" s="393" t="s">
        <v>322</v>
      </c>
      <c r="B12" s="100">
        <f>SUM(C12:BJ12)</f>
        <v>480000</v>
      </c>
      <c r="C12" s="100">
        <v>7000</v>
      </c>
      <c r="D12" s="100">
        <v>7000</v>
      </c>
      <c r="E12" s="100">
        <v>7000</v>
      </c>
      <c r="F12" s="100">
        <v>7000</v>
      </c>
      <c r="G12" s="100">
        <v>7000</v>
      </c>
      <c r="H12" s="100">
        <v>7000</v>
      </c>
      <c r="I12" s="100">
        <v>7000</v>
      </c>
      <c r="J12" s="100">
        <v>7000</v>
      </c>
      <c r="K12" s="100">
        <v>7000</v>
      </c>
      <c r="L12" s="100">
        <v>7000</v>
      </c>
      <c r="M12" s="100">
        <v>7000</v>
      </c>
      <c r="N12" s="100">
        <v>7000</v>
      </c>
      <c r="O12" s="100">
        <v>7500</v>
      </c>
      <c r="P12" s="100">
        <v>7500</v>
      </c>
      <c r="Q12" s="100">
        <v>7500</v>
      </c>
      <c r="R12" s="100">
        <v>7500</v>
      </c>
      <c r="S12" s="100">
        <v>7500</v>
      </c>
      <c r="T12" s="100">
        <v>7500</v>
      </c>
      <c r="U12" s="100">
        <v>7500</v>
      </c>
      <c r="V12" s="100">
        <v>7500</v>
      </c>
      <c r="W12" s="100">
        <v>7500</v>
      </c>
      <c r="X12" s="100">
        <v>7500</v>
      </c>
      <c r="Y12" s="100">
        <v>7500</v>
      </c>
      <c r="Z12" s="100">
        <v>7500</v>
      </c>
      <c r="AA12" s="100">
        <v>8000</v>
      </c>
      <c r="AB12" s="100">
        <v>8000</v>
      </c>
      <c r="AC12" s="100">
        <v>8000</v>
      </c>
      <c r="AD12" s="100">
        <v>8000</v>
      </c>
      <c r="AE12" s="100">
        <v>8000</v>
      </c>
      <c r="AF12" s="100">
        <v>8000</v>
      </c>
      <c r="AG12" s="100">
        <v>8000</v>
      </c>
      <c r="AH12" s="100">
        <v>8000</v>
      </c>
      <c r="AI12" s="100">
        <v>8000</v>
      </c>
      <c r="AJ12" s="100">
        <v>8000</v>
      </c>
      <c r="AK12" s="100">
        <v>8000</v>
      </c>
      <c r="AL12" s="100">
        <v>8000</v>
      </c>
      <c r="AM12" s="100">
        <v>8500</v>
      </c>
      <c r="AN12" s="100">
        <v>8500</v>
      </c>
      <c r="AO12" s="100">
        <v>8500</v>
      </c>
      <c r="AP12" s="100">
        <v>8500</v>
      </c>
      <c r="AQ12" s="100">
        <v>8500</v>
      </c>
      <c r="AR12" s="100">
        <v>8500</v>
      </c>
      <c r="AS12" s="100">
        <v>8500</v>
      </c>
      <c r="AT12" s="100">
        <v>8500</v>
      </c>
      <c r="AU12" s="100">
        <v>8500</v>
      </c>
      <c r="AV12" s="100">
        <v>8500</v>
      </c>
      <c r="AW12" s="100">
        <v>8500</v>
      </c>
      <c r="AX12" s="100">
        <v>8500</v>
      </c>
      <c r="AY12" s="100">
        <v>9000</v>
      </c>
      <c r="AZ12" s="100">
        <v>9000</v>
      </c>
      <c r="BA12" s="100">
        <v>9000</v>
      </c>
      <c r="BB12" s="100">
        <v>9000</v>
      </c>
      <c r="BC12" s="100">
        <v>9000</v>
      </c>
      <c r="BD12" s="100">
        <v>9000</v>
      </c>
      <c r="BE12" s="100">
        <v>9000</v>
      </c>
      <c r="BF12" s="100">
        <v>9000</v>
      </c>
      <c r="BG12" s="100">
        <v>9000</v>
      </c>
      <c r="BH12" s="100">
        <v>9000</v>
      </c>
      <c r="BI12" s="100">
        <v>9000</v>
      </c>
      <c r="BJ12" s="100">
        <v>9000</v>
      </c>
    </row>
    <row r="13" spans="1:62" s="328" customFormat="1" ht="12">
      <c r="A13" s="216" t="s">
        <v>292</v>
      </c>
      <c r="B13" s="100">
        <f t="shared" ref="B13:B26" si="22">SUM(C13:BJ13)</f>
        <v>480000</v>
      </c>
      <c r="C13" s="100">
        <v>8000</v>
      </c>
      <c r="D13" s="100">
        <v>8000</v>
      </c>
      <c r="E13" s="100">
        <v>8000</v>
      </c>
      <c r="F13" s="100">
        <v>8000</v>
      </c>
      <c r="G13" s="100">
        <v>8000</v>
      </c>
      <c r="H13" s="100">
        <v>8000</v>
      </c>
      <c r="I13" s="100">
        <v>8000</v>
      </c>
      <c r="J13" s="100">
        <v>8000</v>
      </c>
      <c r="K13" s="100">
        <v>8000</v>
      </c>
      <c r="L13" s="100">
        <v>8000</v>
      </c>
      <c r="M13" s="100">
        <v>8000</v>
      </c>
      <c r="N13" s="100">
        <v>8000</v>
      </c>
      <c r="O13" s="100">
        <v>8000</v>
      </c>
      <c r="P13" s="100">
        <v>8000</v>
      </c>
      <c r="Q13" s="100">
        <v>8000</v>
      </c>
      <c r="R13" s="100">
        <v>8000</v>
      </c>
      <c r="S13" s="100">
        <v>8000</v>
      </c>
      <c r="T13" s="100">
        <v>8000</v>
      </c>
      <c r="U13" s="100">
        <v>8000</v>
      </c>
      <c r="V13" s="100">
        <v>8000</v>
      </c>
      <c r="W13" s="100">
        <v>8000</v>
      </c>
      <c r="X13" s="100">
        <v>8000</v>
      </c>
      <c r="Y13" s="100">
        <v>8000</v>
      </c>
      <c r="Z13" s="100">
        <v>8000</v>
      </c>
      <c r="AA13" s="100">
        <v>8000</v>
      </c>
      <c r="AB13" s="100">
        <v>8000</v>
      </c>
      <c r="AC13" s="100">
        <v>8000</v>
      </c>
      <c r="AD13" s="100">
        <v>8000</v>
      </c>
      <c r="AE13" s="100">
        <v>8000</v>
      </c>
      <c r="AF13" s="100">
        <v>8000</v>
      </c>
      <c r="AG13" s="100">
        <v>8000</v>
      </c>
      <c r="AH13" s="100">
        <v>8000</v>
      </c>
      <c r="AI13" s="100">
        <v>8000</v>
      </c>
      <c r="AJ13" s="100">
        <v>8000</v>
      </c>
      <c r="AK13" s="100">
        <v>8000</v>
      </c>
      <c r="AL13" s="100">
        <v>8000</v>
      </c>
      <c r="AM13" s="100">
        <v>8000</v>
      </c>
      <c r="AN13" s="100">
        <v>8000</v>
      </c>
      <c r="AO13" s="100">
        <v>8000</v>
      </c>
      <c r="AP13" s="100">
        <v>8000</v>
      </c>
      <c r="AQ13" s="100">
        <v>8000</v>
      </c>
      <c r="AR13" s="100">
        <v>8000</v>
      </c>
      <c r="AS13" s="100">
        <v>8000</v>
      </c>
      <c r="AT13" s="100">
        <v>8000</v>
      </c>
      <c r="AU13" s="100">
        <v>8000</v>
      </c>
      <c r="AV13" s="100">
        <v>8000</v>
      </c>
      <c r="AW13" s="100">
        <v>8000</v>
      </c>
      <c r="AX13" s="100">
        <v>8000</v>
      </c>
      <c r="AY13" s="100">
        <v>8000</v>
      </c>
      <c r="AZ13" s="100">
        <v>8000</v>
      </c>
      <c r="BA13" s="100">
        <v>8000</v>
      </c>
      <c r="BB13" s="100">
        <v>8000</v>
      </c>
      <c r="BC13" s="100">
        <v>8000</v>
      </c>
      <c r="BD13" s="100">
        <v>8000</v>
      </c>
      <c r="BE13" s="100">
        <v>8000</v>
      </c>
      <c r="BF13" s="100">
        <v>8000</v>
      </c>
      <c r="BG13" s="100">
        <v>8000</v>
      </c>
      <c r="BH13" s="100">
        <v>8000</v>
      </c>
      <c r="BI13" s="100">
        <v>8000</v>
      </c>
      <c r="BJ13" s="100">
        <v>8000</v>
      </c>
    </row>
    <row r="14" spans="1:62" s="328" customFormat="1" ht="12">
      <c r="A14" s="354" t="s">
        <v>315</v>
      </c>
      <c r="B14" s="100">
        <f t="shared" si="22"/>
        <v>3613980</v>
      </c>
      <c r="C14" s="100">
        <v>60233</v>
      </c>
      <c r="D14" s="100">
        <v>60233</v>
      </c>
      <c r="E14" s="100">
        <v>60233</v>
      </c>
      <c r="F14" s="100">
        <v>60233</v>
      </c>
      <c r="G14" s="100">
        <v>60233</v>
      </c>
      <c r="H14" s="100">
        <v>60233</v>
      </c>
      <c r="I14" s="100">
        <v>60233</v>
      </c>
      <c r="J14" s="100">
        <v>60233</v>
      </c>
      <c r="K14" s="100">
        <v>60233</v>
      </c>
      <c r="L14" s="100">
        <v>60233</v>
      </c>
      <c r="M14" s="100">
        <v>60233</v>
      </c>
      <c r="N14" s="100">
        <v>60233</v>
      </c>
      <c r="O14" s="100">
        <v>60233</v>
      </c>
      <c r="P14" s="100">
        <v>60233</v>
      </c>
      <c r="Q14" s="100">
        <v>60233</v>
      </c>
      <c r="R14" s="100">
        <v>60233</v>
      </c>
      <c r="S14" s="100">
        <v>60233</v>
      </c>
      <c r="T14" s="100">
        <v>60233</v>
      </c>
      <c r="U14" s="100">
        <v>60233</v>
      </c>
      <c r="V14" s="100">
        <v>60233</v>
      </c>
      <c r="W14" s="100">
        <v>60233</v>
      </c>
      <c r="X14" s="100">
        <v>60233</v>
      </c>
      <c r="Y14" s="100">
        <v>60233</v>
      </c>
      <c r="Z14" s="100">
        <v>60233</v>
      </c>
      <c r="AA14" s="100">
        <v>60233</v>
      </c>
      <c r="AB14" s="100">
        <v>60233</v>
      </c>
      <c r="AC14" s="100">
        <v>60233</v>
      </c>
      <c r="AD14" s="100">
        <v>60233</v>
      </c>
      <c r="AE14" s="100">
        <v>60233</v>
      </c>
      <c r="AF14" s="100">
        <v>60233</v>
      </c>
      <c r="AG14" s="100">
        <v>60233</v>
      </c>
      <c r="AH14" s="100">
        <v>60233</v>
      </c>
      <c r="AI14" s="100">
        <v>60233</v>
      </c>
      <c r="AJ14" s="100">
        <v>60233</v>
      </c>
      <c r="AK14" s="100">
        <v>60233</v>
      </c>
      <c r="AL14" s="100">
        <v>60233</v>
      </c>
      <c r="AM14" s="100">
        <v>60233</v>
      </c>
      <c r="AN14" s="100">
        <v>60233</v>
      </c>
      <c r="AO14" s="100">
        <v>60233</v>
      </c>
      <c r="AP14" s="100">
        <v>60233</v>
      </c>
      <c r="AQ14" s="100">
        <v>60233</v>
      </c>
      <c r="AR14" s="100">
        <v>60233</v>
      </c>
      <c r="AS14" s="100">
        <v>60233</v>
      </c>
      <c r="AT14" s="100">
        <v>60233</v>
      </c>
      <c r="AU14" s="100">
        <v>60233</v>
      </c>
      <c r="AV14" s="100">
        <v>60233</v>
      </c>
      <c r="AW14" s="100">
        <v>60233</v>
      </c>
      <c r="AX14" s="100">
        <v>60233</v>
      </c>
      <c r="AY14" s="100">
        <v>60233</v>
      </c>
      <c r="AZ14" s="100">
        <v>60233</v>
      </c>
      <c r="BA14" s="100">
        <v>60233</v>
      </c>
      <c r="BB14" s="100">
        <v>60233</v>
      </c>
      <c r="BC14" s="100">
        <v>60233</v>
      </c>
      <c r="BD14" s="100">
        <v>60233</v>
      </c>
      <c r="BE14" s="100">
        <v>60233</v>
      </c>
      <c r="BF14" s="100">
        <v>60233</v>
      </c>
      <c r="BG14" s="100">
        <v>60233</v>
      </c>
      <c r="BH14" s="100">
        <v>60233</v>
      </c>
      <c r="BI14" s="100">
        <v>60233</v>
      </c>
      <c r="BJ14" s="100">
        <v>60233</v>
      </c>
    </row>
    <row r="15" spans="1:62" s="328" customFormat="1" ht="12">
      <c r="A15" s="216" t="s">
        <v>152</v>
      </c>
      <c r="B15" s="100">
        <f t="shared" si="22"/>
        <v>828990.56831280049</v>
      </c>
      <c r="C15" s="100">
        <f t="shared" ref="C15:AH15" si="23">SUM(C10:C14,C16:C25)*$B$81</f>
        <v>13255.150000000001</v>
      </c>
      <c r="D15" s="100">
        <f t="shared" si="23"/>
        <v>13255.150000000001</v>
      </c>
      <c r="E15" s="100">
        <f t="shared" si="23"/>
        <v>13255.150000000001</v>
      </c>
      <c r="F15" s="100">
        <f t="shared" si="23"/>
        <v>13255.150000000001</v>
      </c>
      <c r="G15" s="100">
        <f t="shared" si="23"/>
        <v>13255.150000000001</v>
      </c>
      <c r="H15" s="100">
        <f t="shared" si="23"/>
        <v>13255.150000000001</v>
      </c>
      <c r="I15" s="100">
        <f t="shared" si="23"/>
        <v>13255.150000000001</v>
      </c>
      <c r="J15" s="100">
        <f t="shared" si="23"/>
        <v>13255.150000000001</v>
      </c>
      <c r="K15" s="100">
        <f t="shared" si="23"/>
        <v>13255.150000000001</v>
      </c>
      <c r="L15" s="100">
        <f t="shared" si="23"/>
        <v>13255.150000000001</v>
      </c>
      <c r="M15" s="100">
        <f t="shared" si="23"/>
        <v>13255.150000000001</v>
      </c>
      <c r="N15" s="100">
        <f t="shared" si="23"/>
        <v>13255.150000000001</v>
      </c>
      <c r="O15" s="100">
        <f t="shared" si="23"/>
        <v>13333.45</v>
      </c>
      <c r="P15" s="100">
        <f t="shared" si="23"/>
        <v>13333.45</v>
      </c>
      <c r="Q15" s="100">
        <f t="shared" si="23"/>
        <v>13333.45</v>
      </c>
      <c r="R15" s="100">
        <f t="shared" si="23"/>
        <v>13333.45</v>
      </c>
      <c r="S15" s="100">
        <f t="shared" si="23"/>
        <v>13333.45</v>
      </c>
      <c r="T15" s="100">
        <f t="shared" si="23"/>
        <v>13333.45</v>
      </c>
      <c r="U15" s="100">
        <f t="shared" si="23"/>
        <v>13333.45</v>
      </c>
      <c r="V15" s="100">
        <f t="shared" si="23"/>
        <v>13333.45</v>
      </c>
      <c r="W15" s="100">
        <f t="shared" si="23"/>
        <v>13333.45</v>
      </c>
      <c r="X15" s="100">
        <f t="shared" si="23"/>
        <v>13333.45</v>
      </c>
      <c r="Y15" s="100">
        <f t="shared" si="23"/>
        <v>13333.45</v>
      </c>
      <c r="Z15" s="100">
        <f t="shared" si="23"/>
        <v>13333.45</v>
      </c>
      <c r="AA15" s="100">
        <f t="shared" si="23"/>
        <v>13749.766000000001</v>
      </c>
      <c r="AB15" s="100">
        <f t="shared" si="23"/>
        <v>13749.766000000001</v>
      </c>
      <c r="AC15" s="100">
        <f t="shared" si="23"/>
        <v>13749.766000000001</v>
      </c>
      <c r="AD15" s="100">
        <f t="shared" si="23"/>
        <v>13749.766000000001</v>
      </c>
      <c r="AE15" s="100">
        <f t="shared" si="23"/>
        <v>13749.766000000001</v>
      </c>
      <c r="AF15" s="100">
        <f t="shared" si="23"/>
        <v>13749.766000000001</v>
      </c>
      <c r="AG15" s="100">
        <f t="shared" si="23"/>
        <v>13749.766000000001</v>
      </c>
      <c r="AH15" s="100">
        <f t="shared" si="23"/>
        <v>13749.766000000001</v>
      </c>
      <c r="AI15" s="100">
        <f t="shared" ref="AI15:BJ15" si="24">SUM(AI10:AI14,AI16:AI25)*$B$81</f>
        <v>13749.766000000001</v>
      </c>
      <c r="AJ15" s="100">
        <f t="shared" si="24"/>
        <v>13749.766000000001</v>
      </c>
      <c r="AK15" s="100">
        <f t="shared" si="24"/>
        <v>13749.766000000001</v>
      </c>
      <c r="AL15" s="100">
        <f t="shared" si="24"/>
        <v>13749.766000000001</v>
      </c>
      <c r="AM15" s="100">
        <f t="shared" si="24"/>
        <v>14158.695179999999</v>
      </c>
      <c r="AN15" s="100">
        <f t="shared" si="24"/>
        <v>14158.695179999999</v>
      </c>
      <c r="AO15" s="100">
        <f t="shared" si="24"/>
        <v>14158.695179999999</v>
      </c>
      <c r="AP15" s="100">
        <f t="shared" si="24"/>
        <v>14158.695179999999</v>
      </c>
      <c r="AQ15" s="100">
        <f t="shared" si="24"/>
        <v>14158.695179999999</v>
      </c>
      <c r="AR15" s="100">
        <f t="shared" si="24"/>
        <v>14158.695179999999</v>
      </c>
      <c r="AS15" s="100">
        <f t="shared" si="24"/>
        <v>14158.695179999999</v>
      </c>
      <c r="AT15" s="100">
        <f t="shared" si="24"/>
        <v>14158.695179999999</v>
      </c>
      <c r="AU15" s="100">
        <f t="shared" si="24"/>
        <v>14158.695179999999</v>
      </c>
      <c r="AV15" s="100">
        <f t="shared" si="24"/>
        <v>14158.695179999999</v>
      </c>
      <c r="AW15" s="100">
        <f t="shared" si="24"/>
        <v>14158.695179999999</v>
      </c>
      <c r="AX15" s="100">
        <f t="shared" si="24"/>
        <v>14158.695179999999</v>
      </c>
      <c r="AY15" s="100">
        <f t="shared" si="24"/>
        <v>14585.486179400003</v>
      </c>
      <c r="AZ15" s="100">
        <f t="shared" si="24"/>
        <v>14585.486179400003</v>
      </c>
      <c r="BA15" s="100">
        <f t="shared" si="24"/>
        <v>14585.486179400003</v>
      </c>
      <c r="BB15" s="100">
        <f t="shared" si="24"/>
        <v>14585.486179400003</v>
      </c>
      <c r="BC15" s="100">
        <f t="shared" si="24"/>
        <v>14585.486179400003</v>
      </c>
      <c r="BD15" s="100">
        <f t="shared" si="24"/>
        <v>14585.486179400003</v>
      </c>
      <c r="BE15" s="100">
        <f t="shared" si="24"/>
        <v>14585.486179400003</v>
      </c>
      <c r="BF15" s="100">
        <f t="shared" si="24"/>
        <v>14585.486179400003</v>
      </c>
      <c r="BG15" s="100">
        <f t="shared" si="24"/>
        <v>14585.486179400003</v>
      </c>
      <c r="BH15" s="100">
        <f t="shared" si="24"/>
        <v>14585.486179400003</v>
      </c>
      <c r="BI15" s="100">
        <f t="shared" si="24"/>
        <v>14585.486179400003</v>
      </c>
      <c r="BJ15" s="100">
        <f t="shared" si="24"/>
        <v>14585.486179400003</v>
      </c>
    </row>
    <row r="16" spans="1:62" s="328" customFormat="1" ht="12">
      <c r="A16" s="216" t="s">
        <v>146</v>
      </c>
      <c r="B16" s="100">
        <f t="shared" si="22"/>
        <v>75993.113375999965</v>
      </c>
      <c r="C16" s="100">
        <v>1200</v>
      </c>
      <c r="D16" s="100">
        <v>1200</v>
      </c>
      <c r="E16" s="100">
        <v>1200</v>
      </c>
      <c r="F16" s="100">
        <v>1200</v>
      </c>
      <c r="G16" s="100">
        <v>1200</v>
      </c>
      <c r="H16" s="100">
        <v>1200</v>
      </c>
      <c r="I16" s="100">
        <v>1200</v>
      </c>
      <c r="J16" s="100">
        <v>1200</v>
      </c>
      <c r="K16" s="100">
        <v>1200</v>
      </c>
      <c r="L16" s="100">
        <v>1200</v>
      </c>
      <c r="M16" s="100">
        <v>1200</v>
      </c>
      <c r="N16" s="100">
        <v>1200</v>
      </c>
      <c r="O16" s="100">
        <f>$N$16*1.03</f>
        <v>1236</v>
      </c>
      <c r="P16" s="100">
        <f t="shared" ref="P16:Z16" si="25">$N$16*1.03</f>
        <v>1236</v>
      </c>
      <c r="Q16" s="100">
        <f t="shared" si="25"/>
        <v>1236</v>
      </c>
      <c r="R16" s="100">
        <f t="shared" si="25"/>
        <v>1236</v>
      </c>
      <c r="S16" s="100">
        <f t="shared" si="25"/>
        <v>1236</v>
      </c>
      <c r="T16" s="100">
        <f t="shared" si="25"/>
        <v>1236</v>
      </c>
      <c r="U16" s="100">
        <f t="shared" si="25"/>
        <v>1236</v>
      </c>
      <c r="V16" s="100">
        <f t="shared" si="25"/>
        <v>1236</v>
      </c>
      <c r="W16" s="100">
        <f t="shared" si="25"/>
        <v>1236</v>
      </c>
      <c r="X16" s="100">
        <f t="shared" si="25"/>
        <v>1236</v>
      </c>
      <c r="Y16" s="100">
        <f t="shared" si="25"/>
        <v>1236</v>
      </c>
      <c r="Z16" s="100">
        <f t="shared" si="25"/>
        <v>1236</v>
      </c>
      <c r="AA16" s="100">
        <f>$Z$16*1.02</f>
        <v>1260.72</v>
      </c>
      <c r="AB16" s="100">
        <f t="shared" ref="AB16:AL16" si="26">$Z$16*1.02</f>
        <v>1260.72</v>
      </c>
      <c r="AC16" s="100">
        <f t="shared" si="26"/>
        <v>1260.72</v>
      </c>
      <c r="AD16" s="100">
        <f t="shared" si="26"/>
        <v>1260.72</v>
      </c>
      <c r="AE16" s="100">
        <f t="shared" si="26"/>
        <v>1260.72</v>
      </c>
      <c r="AF16" s="100">
        <f t="shared" si="26"/>
        <v>1260.72</v>
      </c>
      <c r="AG16" s="100">
        <f t="shared" si="26"/>
        <v>1260.72</v>
      </c>
      <c r="AH16" s="100">
        <f t="shared" si="26"/>
        <v>1260.72</v>
      </c>
      <c r="AI16" s="100">
        <f t="shared" si="26"/>
        <v>1260.72</v>
      </c>
      <c r="AJ16" s="100">
        <f t="shared" si="26"/>
        <v>1260.72</v>
      </c>
      <c r="AK16" s="100">
        <f t="shared" si="26"/>
        <v>1260.72</v>
      </c>
      <c r="AL16" s="100">
        <f t="shared" si="26"/>
        <v>1260.72</v>
      </c>
      <c r="AM16" s="100">
        <f>$AL$16*1.03</f>
        <v>1298.5416</v>
      </c>
      <c r="AN16" s="100">
        <f t="shared" ref="AN16:AX16" si="27">$AL$16*1.03</f>
        <v>1298.5416</v>
      </c>
      <c r="AO16" s="100">
        <f t="shared" si="27"/>
        <v>1298.5416</v>
      </c>
      <c r="AP16" s="100">
        <f t="shared" si="27"/>
        <v>1298.5416</v>
      </c>
      <c r="AQ16" s="100">
        <f t="shared" si="27"/>
        <v>1298.5416</v>
      </c>
      <c r="AR16" s="100">
        <f t="shared" si="27"/>
        <v>1298.5416</v>
      </c>
      <c r="AS16" s="100">
        <f t="shared" si="27"/>
        <v>1298.5416</v>
      </c>
      <c r="AT16" s="100">
        <f t="shared" si="27"/>
        <v>1298.5416</v>
      </c>
      <c r="AU16" s="100">
        <f t="shared" si="27"/>
        <v>1298.5416</v>
      </c>
      <c r="AV16" s="100">
        <f t="shared" si="27"/>
        <v>1298.5416</v>
      </c>
      <c r="AW16" s="100">
        <f t="shared" si="27"/>
        <v>1298.5416</v>
      </c>
      <c r="AX16" s="100">
        <f t="shared" si="27"/>
        <v>1298.5416</v>
      </c>
      <c r="AY16" s="100">
        <f>$AX$16*1.03</f>
        <v>1337.497848</v>
      </c>
      <c r="AZ16" s="100">
        <f t="shared" ref="AZ16:BJ16" si="28">$AX$16*1.03</f>
        <v>1337.497848</v>
      </c>
      <c r="BA16" s="100">
        <f t="shared" si="28"/>
        <v>1337.497848</v>
      </c>
      <c r="BB16" s="100">
        <f t="shared" si="28"/>
        <v>1337.497848</v>
      </c>
      <c r="BC16" s="100">
        <f t="shared" si="28"/>
        <v>1337.497848</v>
      </c>
      <c r="BD16" s="100">
        <f t="shared" si="28"/>
        <v>1337.497848</v>
      </c>
      <c r="BE16" s="100">
        <f t="shared" si="28"/>
        <v>1337.497848</v>
      </c>
      <c r="BF16" s="100">
        <f t="shared" si="28"/>
        <v>1337.497848</v>
      </c>
      <c r="BG16" s="100">
        <f t="shared" si="28"/>
        <v>1337.497848</v>
      </c>
      <c r="BH16" s="100">
        <f t="shared" si="28"/>
        <v>1337.497848</v>
      </c>
      <c r="BI16" s="100">
        <f t="shared" si="28"/>
        <v>1337.497848</v>
      </c>
      <c r="BJ16" s="100">
        <f t="shared" si="28"/>
        <v>1337.497848</v>
      </c>
    </row>
    <row r="17" spans="1:62" s="328" customFormat="1" ht="12">
      <c r="A17" s="216" t="s">
        <v>316</v>
      </c>
      <c r="B17" s="100">
        <f t="shared" si="22"/>
        <v>93672.722879999943</v>
      </c>
      <c r="C17" s="100">
        <v>1500</v>
      </c>
      <c r="D17" s="100">
        <v>1500</v>
      </c>
      <c r="E17" s="100">
        <v>1500</v>
      </c>
      <c r="F17" s="100">
        <v>1500</v>
      </c>
      <c r="G17" s="100">
        <v>1500</v>
      </c>
      <c r="H17" s="100">
        <v>1500</v>
      </c>
      <c r="I17" s="100">
        <v>1500</v>
      </c>
      <c r="J17" s="100">
        <v>1500</v>
      </c>
      <c r="K17" s="100">
        <v>1500</v>
      </c>
      <c r="L17" s="100">
        <v>1500</v>
      </c>
      <c r="M17" s="100">
        <v>1500</v>
      </c>
      <c r="N17" s="100">
        <v>1500</v>
      </c>
      <c r="O17" s="100">
        <f>$N$17*1.02</f>
        <v>1530</v>
      </c>
      <c r="P17" s="100">
        <f t="shared" ref="P17:Z17" si="29">$N$17*1.02</f>
        <v>1530</v>
      </c>
      <c r="Q17" s="100">
        <f t="shared" si="29"/>
        <v>1530</v>
      </c>
      <c r="R17" s="100">
        <f t="shared" si="29"/>
        <v>1530</v>
      </c>
      <c r="S17" s="100">
        <f t="shared" si="29"/>
        <v>1530</v>
      </c>
      <c r="T17" s="100">
        <f t="shared" si="29"/>
        <v>1530</v>
      </c>
      <c r="U17" s="100">
        <f t="shared" si="29"/>
        <v>1530</v>
      </c>
      <c r="V17" s="100">
        <f t="shared" si="29"/>
        <v>1530</v>
      </c>
      <c r="W17" s="100">
        <f t="shared" si="29"/>
        <v>1530</v>
      </c>
      <c r="X17" s="100">
        <f t="shared" si="29"/>
        <v>1530</v>
      </c>
      <c r="Y17" s="100">
        <f t="shared" si="29"/>
        <v>1530</v>
      </c>
      <c r="Z17" s="100">
        <f t="shared" si="29"/>
        <v>1530</v>
      </c>
      <c r="AA17" s="100">
        <f>$Z$17*1.02</f>
        <v>1560.6000000000001</v>
      </c>
      <c r="AB17" s="100">
        <f t="shared" ref="AB17:AL17" si="30">$Z$17*1.02</f>
        <v>1560.6000000000001</v>
      </c>
      <c r="AC17" s="100">
        <f t="shared" si="30"/>
        <v>1560.6000000000001</v>
      </c>
      <c r="AD17" s="100">
        <f t="shared" si="30"/>
        <v>1560.6000000000001</v>
      </c>
      <c r="AE17" s="100">
        <f t="shared" si="30"/>
        <v>1560.6000000000001</v>
      </c>
      <c r="AF17" s="100">
        <f t="shared" si="30"/>
        <v>1560.6000000000001</v>
      </c>
      <c r="AG17" s="100">
        <f t="shared" si="30"/>
        <v>1560.6000000000001</v>
      </c>
      <c r="AH17" s="100">
        <f t="shared" si="30"/>
        <v>1560.6000000000001</v>
      </c>
      <c r="AI17" s="100">
        <f t="shared" si="30"/>
        <v>1560.6000000000001</v>
      </c>
      <c r="AJ17" s="100">
        <f t="shared" si="30"/>
        <v>1560.6000000000001</v>
      </c>
      <c r="AK17" s="100">
        <f t="shared" si="30"/>
        <v>1560.6000000000001</v>
      </c>
      <c r="AL17" s="100">
        <f t="shared" si="30"/>
        <v>1560.6000000000001</v>
      </c>
      <c r="AM17" s="100">
        <f>$AL$17*1.02</f>
        <v>1591.8120000000001</v>
      </c>
      <c r="AN17" s="100">
        <f t="shared" ref="AN17:AX17" si="31">$AL$17*1.02</f>
        <v>1591.8120000000001</v>
      </c>
      <c r="AO17" s="100">
        <f t="shared" si="31"/>
        <v>1591.8120000000001</v>
      </c>
      <c r="AP17" s="100">
        <f t="shared" si="31"/>
        <v>1591.8120000000001</v>
      </c>
      <c r="AQ17" s="100">
        <f t="shared" si="31"/>
        <v>1591.8120000000001</v>
      </c>
      <c r="AR17" s="100">
        <f t="shared" si="31"/>
        <v>1591.8120000000001</v>
      </c>
      <c r="AS17" s="100">
        <f t="shared" si="31"/>
        <v>1591.8120000000001</v>
      </c>
      <c r="AT17" s="100">
        <f t="shared" si="31"/>
        <v>1591.8120000000001</v>
      </c>
      <c r="AU17" s="100">
        <f t="shared" si="31"/>
        <v>1591.8120000000001</v>
      </c>
      <c r="AV17" s="100">
        <f t="shared" si="31"/>
        <v>1591.8120000000001</v>
      </c>
      <c r="AW17" s="100">
        <f t="shared" si="31"/>
        <v>1591.8120000000001</v>
      </c>
      <c r="AX17" s="100">
        <f t="shared" si="31"/>
        <v>1591.8120000000001</v>
      </c>
      <c r="AY17" s="100">
        <f>$AX$17*1.02</f>
        <v>1623.6482400000002</v>
      </c>
      <c r="AZ17" s="100">
        <f t="shared" ref="AZ17:BJ17" si="32">$AX$17*1.02</f>
        <v>1623.6482400000002</v>
      </c>
      <c r="BA17" s="100">
        <f t="shared" si="32"/>
        <v>1623.6482400000002</v>
      </c>
      <c r="BB17" s="100">
        <f t="shared" si="32"/>
        <v>1623.6482400000002</v>
      </c>
      <c r="BC17" s="100">
        <f t="shared" si="32"/>
        <v>1623.6482400000002</v>
      </c>
      <c r="BD17" s="100">
        <f t="shared" si="32"/>
        <v>1623.6482400000002</v>
      </c>
      <c r="BE17" s="100">
        <f t="shared" si="32"/>
        <v>1623.6482400000002</v>
      </c>
      <c r="BF17" s="100">
        <f t="shared" si="32"/>
        <v>1623.6482400000002</v>
      </c>
      <c r="BG17" s="100">
        <f t="shared" si="32"/>
        <v>1623.6482400000002</v>
      </c>
      <c r="BH17" s="100">
        <f t="shared" si="32"/>
        <v>1623.6482400000002</v>
      </c>
      <c r="BI17" s="100">
        <f t="shared" si="32"/>
        <v>1623.6482400000002</v>
      </c>
      <c r="BJ17" s="100">
        <f t="shared" si="32"/>
        <v>1623.6482400000002</v>
      </c>
    </row>
    <row r="18" spans="1:62" s="328" customFormat="1" ht="12">
      <c r="A18" s="216" t="s">
        <v>291</v>
      </c>
      <c r="B18" s="100">
        <f t="shared" si="22"/>
        <v>30000</v>
      </c>
      <c r="C18" s="100">
        <v>500</v>
      </c>
      <c r="D18" s="100">
        <v>500</v>
      </c>
      <c r="E18" s="100">
        <v>500</v>
      </c>
      <c r="F18" s="100">
        <v>500</v>
      </c>
      <c r="G18" s="100">
        <v>500</v>
      </c>
      <c r="H18" s="100">
        <v>500</v>
      </c>
      <c r="I18" s="100">
        <v>500</v>
      </c>
      <c r="J18" s="100">
        <v>500</v>
      </c>
      <c r="K18" s="100">
        <v>500</v>
      </c>
      <c r="L18" s="100">
        <v>500</v>
      </c>
      <c r="M18" s="100">
        <v>500</v>
      </c>
      <c r="N18" s="100">
        <v>500</v>
      </c>
      <c r="O18" s="100">
        <v>500</v>
      </c>
      <c r="P18" s="100">
        <v>500</v>
      </c>
      <c r="Q18" s="100">
        <v>500</v>
      </c>
      <c r="R18" s="100">
        <v>500</v>
      </c>
      <c r="S18" s="100">
        <v>500</v>
      </c>
      <c r="T18" s="100">
        <v>500</v>
      </c>
      <c r="U18" s="100">
        <v>500</v>
      </c>
      <c r="V18" s="100">
        <v>500</v>
      </c>
      <c r="W18" s="100">
        <v>500</v>
      </c>
      <c r="X18" s="100">
        <v>500</v>
      </c>
      <c r="Y18" s="100">
        <v>500</v>
      </c>
      <c r="Z18" s="100">
        <v>500</v>
      </c>
      <c r="AA18" s="100">
        <v>500</v>
      </c>
      <c r="AB18" s="100">
        <v>500</v>
      </c>
      <c r="AC18" s="100">
        <v>500</v>
      </c>
      <c r="AD18" s="100">
        <v>500</v>
      </c>
      <c r="AE18" s="100">
        <v>500</v>
      </c>
      <c r="AF18" s="100">
        <v>500</v>
      </c>
      <c r="AG18" s="100">
        <v>500</v>
      </c>
      <c r="AH18" s="100">
        <v>500</v>
      </c>
      <c r="AI18" s="100">
        <v>500</v>
      </c>
      <c r="AJ18" s="100">
        <v>500</v>
      </c>
      <c r="AK18" s="100">
        <v>500</v>
      </c>
      <c r="AL18" s="100">
        <v>500</v>
      </c>
      <c r="AM18" s="100">
        <v>500</v>
      </c>
      <c r="AN18" s="100">
        <v>500</v>
      </c>
      <c r="AO18" s="100">
        <v>500</v>
      </c>
      <c r="AP18" s="100">
        <v>500</v>
      </c>
      <c r="AQ18" s="100">
        <v>500</v>
      </c>
      <c r="AR18" s="100">
        <v>500</v>
      </c>
      <c r="AS18" s="100">
        <v>500</v>
      </c>
      <c r="AT18" s="100">
        <v>500</v>
      </c>
      <c r="AU18" s="100">
        <v>500</v>
      </c>
      <c r="AV18" s="100">
        <v>500</v>
      </c>
      <c r="AW18" s="100">
        <v>500</v>
      </c>
      <c r="AX18" s="100">
        <v>500</v>
      </c>
      <c r="AY18" s="100">
        <v>500</v>
      </c>
      <c r="AZ18" s="100">
        <v>500</v>
      </c>
      <c r="BA18" s="100">
        <v>500</v>
      </c>
      <c r="BB18" s="100">
        <v>500</v>
      </c>
      <c r="BC18" s="100">
        <v>500</v>
      </c>
      <c r="BD18" s="100">
        <v>500</v>
      </c>
      <c r="BE18" s="100">
        <v>500</v>
      </c>
      <c r="BF18" s="100">
        <v>500</v>
      </c>
      <c r="BG18" s="100">
        <v>500</v>
      </c>
      <c r="BH18" s="100">
        <v>500</v>
      </c>
      <c r="BI18" s="100">
        <v>500</v>
      </c>
      <c r="BJ18" s="100">
        <v>500</v>
      </c>
    </row>
    <row r="19" spans="1:62" s="328" customFormat="1" ht="12">
      <c r="A19" s="216" t="s">
        <v>317</v>
      </c>
      <c r="B19" s="100">
        <f t="shared" si="22"/>
        <v>330000</v>
      </c>
      <c r="C19" s="100">
        <v>5500</v>
      </c>
      <c r="D19" s="100">
        <v>5500</v>
      </c>
      <c r="E19" s="100">
        <v>5500</v>
      </c>
      <c r="F19" s="100">
        <v>5500</v>
      </c>
      <c r="G19" s="100">
        <v>5500</v>
      </c>
      <c r="H19" s="100">
        <v>5500</v>
      </c>
      <c r="I19" s="100">
        <v>5500</v>
      </c>
      <c r="J19" s="100">
        <v>5500</v>
      </c>
      <c r="K19" s="100">
        <v>5500</v>
      </c>
      <c r="L19" s="100">
        <v>5500</v>
      </c>
      <c r="M19" s="100">
        <v>5500</v>
      </c>
      <c r="N19" s="100">
        <v>5500</v>
      </c>
      <c r="O19" s="100">
        <v>5500</v>
      </c>
      <c r="P19" s="100">
        <v>5500</v>
      </c>
      <c r="Q19" s="100">
        <v>5500</v>
      </c>
      <c r="R19" s="100">
        <v>5500</v>
      </c>
      <c r="S19" s="100">
        <v>5500</v>
      </c>
      <c r="T19" s="100">
        <v>5500</v>
      </c>
      <c r="U19" s="100">
        <v>5500</v>
      </c>
      <c r="V19" s="100">
        <v>5500</v>
      </c>
      <c r="W19" s="100">
        <v>5500</v>
      </c>
      <c r="X19" s="100">
        <v>5500</v>
      </c>
      <c r="Y19" s="100">
        <v>5500</v>
      </c>
      <c r="Z19" s="100">
        <v>5500</v>
      </c>
      <c r="AA19" s="100">
        <v>5500</v>
      </c>
      <c r="AB19" s="100">
        <v>5500</v>
      </c>
      <c r="AC19" s="100">
        <v>5500</v>
      </c>
      <c r="AD19" s="100">
        <v>5500</v>
      </c>
      <c r="AE19" s="100">
        <v>5500</v>
      </c>
      <c r="AF19" s="100">
        <v>5500</v>
      </c>
      <c r="AG19" s="100">
        <v>5500</v>
      </c>
      <c r="AH19" s="100">
        <v>5500</v>
      </c>
      <c r="AI19" s="100">
        <v>5500</v>
      </c>
      <c r="AJ19" s="100">
        <v>5500</v>
      </c>
      <c r="AK19" s="100">
        <v>5500</v>
      </c>
      <c r="AL19" s="100">
        <v>5500</v>
      </c>
      <c r="AM19" s="100">
        <v>5500</v>
      </c>
      <c r="AN19" s="100">
        <v>5500</v>
      </c>
      <c r="AO19" s="100">
        <v>5500</v>
      </c>
      <c r="AP19" s="100">
        <v>5500</v>
      </c>
      <c r="AQ19" s="100">
        <v>5500</v>
      </c>
      <c r="AR19" s="100">
        <v>5500</v>
      </c>
      <c r="AS19" s="100">
        <v>5500</v>
      </c>
      <c r="AT19" s="100">
        <v>5500</v>
      </c>
      <c r="AU19" s="100">
        <v>5500</v>
      </c>
      <c r="AV19" s="100">
        <v>5500</v>
      </c>
      <c r="AW19" s="100">
        <v>5500</v>
      </c>
      <c r="AX19" s="100">
        <v>5500</v>
      </c>
      <c r="AY19" s="100">
        <v>5500</v>
      </c>
      <c r="AZ19" s="100">
        <v>5500</v>
      </c>
      <c r="BA19" s="100">
        <v>5500</v>
      </c>
      <c r="BB19" s="100">
        <v>5500</v>
      </c>
      <c r="BC19" s="100">
        <v>5500</v>
      </c>
      <c r="BD19" s="100">
        <v>5500</v>
      </c>
      <c r="BE19" s="100">
        <v>5500</v>
      </c>
      <c r="BF19" s="100">
        <v>5500</v>
      </c>
      <c r="BG19" s="100">
        <v>5500</v>
      </c>
      <c r="BH19" s="100">
        <v>5500</v>
      </c>
      <c r="BI19" s="100">
        <v>5500</v>
      </c>
      <c r="BJ19" s="100">
        <v>5500</v>
      </c>
    </row>
    <row r="20" spans="1:62" s="328" customFormat="1" ht="12">
      <c r="A20" s="216" t="s">
        <v>293</v>
      </c>
      <c r="B20" s="100">
        <f t="shared" si="22"/>
        <v>300000</v>
      </c>
      <c r="C20" s="100">
        <v>5000</v>
      </c>
      <c r="D20" s="100">
        <v>5000</v>
      </c>
      <c r="E20" s="100">
        <v>5000</v>
      </c>
      <c r="F20" s="100">
        <v>5000</v>
      </c>
      <c r="G20" s="100">
        <v>5000</v>
      </c>
      <c r="H20" s="100">
        <v>5000</v>
      </c>
      <c r="I20" s="100">
        <v>5000</v>
      </c>
      <c r="J20" s="100">
        <v>5000</v>
      </c>
      <c r="K20" s="100">
        <v>5000</v>
      </c>
      <c r="L20" s="100">
        <v>5000</v>
      </c>
      <c r="M20" s="100">
        <v>5000</v>
      </c>
      <c r="N20" s="100">
        <v>5000</v>
      </c>
      <c r="O20" s="100">
        <v>5000</v>
      </c>
      <c r="P20" s="100">
        <v>5000</v>
      </c>
      <c r="Q20" s="100">
        <v>5000</v>
      </c>
      <c r="R20" s="100">
        <v>5000</v>
      </c>
      <c r="S20" s="100">
        <v>5000</v>
      </c>
      <c r="T20" s="100">
        <v>5000</v>
      </c>
      <c r="U20" s="100">
        <v>5000</v>
      </c>
      <c r="V20" s="100">
        <v>5000</v>
      </c>
      <c r="W20" s="100">
        <v>5000</v>
      </c>
      <c r="X20" s="100">
        <v>5000</v>
      </c>
      <c r="Y20" s="100">
        <v>5000</v>
      </c>
      <c r="Z20" s="100">
        <v>5000</v>
      </c>
      <c r="AA20" s="100">
        <v>5000</v>
      </c>
      <c r="AB20" s="100">
        <v>5000</v>
      </c>
      <c r="AC20" s="100">
        <v>5000</v>
      </c>
      <c r="AD20" s="100">
        <v>5000</v>
      </c>
      <c r="AE20" s="100">
        <v>5000</v>
      </c>
      <c r="AF20" s="100">
        <v>5000</v>
      </c>
      <c r="AG20" s="100">
        <v>5000</v>
      </c>
      <c r="AH20" s="100">
        <v>5000</v>
      </c>
      <c r="AI20" s="100">
        <v>5000</v>
      </c>
      <c r="AJ20" s="100">
        <v>5000</v>
      </c>
      <c r="AK20" s="100">
        <v>5000</v>
      </c>
      <c r="AL20" s="100">
        <v>5000</v>
      </c>
      <c r="AM20" s="100">
        <v>5000</v>
      </c>
      <c r="AN20" s="100">
        <v>5000</v>
      </c>
      <c r="AO20" s="100">
        <v>5000</v>
      </c>
      <c r="AP20" s="100">
        <v>5000</v>
      </c>
      <c r="AQ20" s="100">
        <v>5000</v>
      </c>
      <c r="AR20" s="100">
        <v>5000</v>
      </c>
      <c r="AS20" s="100">
        <v>5000</v>
      </c>
      <c r="AT20" s="100">
        <v>5000</v>
      </c>
      <c r="AU20" s="100">
        <v>5000</v>
      </c>
      <c r="AV20" s="100">
        <v>5000</v>
      </c>
      <c r="AW20" s="100">
        <v>5000</v>
      </c>
      <c r="AX20" s="100">
        <v>5000</v>
      </c>
      <c r="AY20" s="100">
        <v>5000</v>
      </c>
      <c r="AZ20" s="100">
        <v>5000</v>
      </c>
      <c r="BA20" s="100">
        <v>5000</v>
      </c>
      <c r="BB20" s="100">
        <v>5000</v>
      </c>
      <c r="BC20" s="100">
        <v>5000</v>
      </c>
      <c r="BD20" s="100">
        <v>5000</v>
      </c>
      <c r="BE20" s="100">
        <v>5000</v>
      </c>
      <c r="BF20" s="100">
        <v>5000</v>
      </c>
      <c r="BG20" s="100">
        <v>5000</v>
      </c>
      <c r="BH20" s="100">
        <v>5000</v>
      </c>
      <c r="BI20" s="100">
        <v>5000</v>
      </c>
      <c r="BJ20" s="100">
        <v>5000</v>
      </c>
    </row>
    <row r="21" spans="1:62" s="328" customFormat="1" ht="12">
      <c r="A21" s="216" t="s">
        <v>294</v>
      </c>
      <c r="B21" s="100">
        <f t="shared" si="22"/>
        <v>702000</v>
      </c>
      <c r="C21" s="100">
        <v>10000</v>
      </c>
      <c r="D21" s="100">
        <v>10000</v>
      </c>
      <c r="E21" s="100">
        <v>10000</v>
      </c>
      <c r="F21" s="100">
        <v>10000</v>
      </c>
      <c r="G21" s="100">
        <v>10000</v>
      </c>
      <c r="H21" s="100">
        <v>10000</v>
      </c>
      <c r="I21" s="100">
        <v>10000</v>
      </c>
      <c r="J21" s="100">
        <v>10000</v>
      </c>
      <c r="K21" s="100">
        <v>10000</v>
      </c>
      <c r="L21" s="100">
        <v>10000</v>
      </c>
      <c r="M21" s="100">
        <v>10000</v>
      </c>
      <c r="N21" s="100">
        <v>10000</v>
      </c>
      <c r="O21" s="100">
        <v>11000</v>
      </c>
      <c r="P21" s="100">
        <v>11000</v>
      </c>
      <c r="Q21" s="100">
        <v>11000</v>
      </c>
      <c r="R21" s="100">
        <v>11000</v>
      </c>
      <c r="S21" s="100">
        <v>11000</v>
      </c>
      <c r="T21" s="100">
        <v>11000</v>
      </c>
      <c r="U21" s="100">
        <v>11000</v>
      </c>
      <c r="V21" s="100">
        <v>11000</v>
      </c>
      <c r="W21" s="100">
        <v>11000</v>
      </c>
      <c r="X21" s="100">
        <v>11000</v>
      </c>
      <c r="Y21" s="100">
        <v>11000</v>
      </c>
      <c r="Z21" s="100">
        <v>11000</v>
      </c>
      <c r="AA21" s="100">
        <v>12000</v>
      </c>
      <c r="AB21" s="100">
        <v>12000</v>
      </c>
      <c r="AC21" s="100">
        <v>12000</v>
      </c>
      <c r="AD21" s="100">
        <v>12000</v>
      </c>
      <c r="AE21" s="100">
        <v>12000</v>
      </c>
      <c r="AF21" s="100">
        <v>12000</v>
      </c>
      <c r="AG21" s="100">
        <v>12000</v>
      </c>
      <c r="AH21" s="100">
        <v>12000</v>
      </c>
      <c r="AI21" s="100">
        <v>12000</v>
      </c>
      <c r="AJ21" s="100">
        <v>12000</v>
      </c>
      <c r="AK21" s="100">
        <v>12000</v>
      </c>
      <c r="AL21" s="100">
        <v>12000</v>
      </c>
      <c r="AM21" s="100">
        <v>12500</v>
      </c>
      <c r="AN21" s="100">
        <v>12500</v>
      </c>
      <c r="AO21" s="100">
        <v>12500</v>
      </c>
      <c r="AP21" s="100">
        <v>12500</v>
      </c>
      <c r="AQ21" s="100">
        <v>12500</v>
      </c>
      <c r="AR21" s="100">
        <v>12500</v>
      </c>
      <c r="AS21" s="100">
        <v>12500</v>
      </c>
      <c r="AT21" s="100">
        <v>12500</v>
      </c>
      <c r="AU21" s="100">
        <v>12500</v>
      </c>
      <c r="AV21" s="100">
        <v>12500</v>
      </c>
      <c r="AW21" s="100">
        <v>12500</v>
      </c>
      <c r="AX21" s="100">
        <v>12500</v>
      </c>
      <c r="AY21" s="100">
        <v>13000</v>
      </c>
      <c r="AZ21" s="100">
        <v>13000</v>
      </c>
      <c r="BA21" s="100">
        <v>13000</v>
      </c>
      <c r="BB21" s="100">
        <v>13000</v>
      </c>
      <c r="BC21" s="100">
        <v>13000</v>
      </c>
      <c r="BD21" s="100">
        <v>13000</v>
      </c>
      <c r="BE21" s="100">
        <v>13000</v>
      </c>
      <c r="BF21" s="100">
        <v>13000</v>
      </c>
      <c r="BG21" s="100">
        <v>13000</v>
      </c>
      <c r="BH21" s="100">
        <v>13000</v>
      </c>
      <c r="BI21" s="100">
        <v>13000</v>
      </c>
      <c r="BJ21" s="100">
        <v>13000</v>
      </c>
    </row>
    <row r="22" spans="1:62" s="328" customFormat="1" ht="12">
      <c r="A22" s="216" t="s">
        <v>298</v>
      </c>
      <c r="B22" s="100">
        <f t="shared" si="22"/>
        <v>51000</v>
      </c>
      <c r="C22" s="100">
        <v>850</v>
      </c>
      <c r="D22" s="100">
        <v>850</v>
      </c>
      <c r="E22" s="100">
        <v>850</v>
      </c>
      <c r="F22" s="100">
        <v>850</v>
      </c>
      <c r="G22" s="100">
        <v>850</v>
      </c>
      <c r="H22" s="100">
        <v>850</v>
      </c>
      <c r="I22" s="100">
        <v>850</v>
      </c>
      <c r="J22" s="100">
        <v>850</v>
      </c>
      <c r="K22" s="100">
        <v>850</v>
      </c>
      <c r="L22" s="100">
        <v>850</v>
      </c>
      <c r="M22" s="100">
        <v>850</v>
      </c>
      <c r="N22" s="100">
        <v>850</v>
      </c>
      <c r="O22" s="100">
        <v>850</v>
      </c>
      <c r="P22" s="100">
        <v>850</v>
      </c>
      <c r="Q22" s="100">
        <v>850</v>
      </c>
      <c r="R22" s="100">
        <v>850</v>
      </c>
      <c r="S22" s="100">
        <v>850</v>
      </c>
      <c r="T22" s="100">
        <v>850</v>
      </c>
      <c r="U22" s="100">
        <v>850</v>
      </c>
      <c r="V22" s="100">
        <v>850</v>
      </c>
      <c r="W22" s="100">
        <v>850</v>
      </c>
      <c r="X22" s="100">
        <v>850</v>
      </c>
      <c r="Y22" s="100">
        <v>850</v>
      </c>
      <c r="Z22" s="100">
        <v>850</v>
      </c>
      <c r="AA22" s="100">
        <v>850</v>
      </c>
      <c r="AB22" s="100">
        <v>850</v>
      </c>
      <c r="AC22" s="100">
        <v>850</v>
      </c>
      <c r="AD22" s="100">
        <v>850</v>
      </c>
      <c r="AE22" s="100">
        <v>850</v>
      </c>
      <c r="AF22" s="100">
        <v>850</v>
      </c>
      <c r="AG22" s="100">
        <v>850</v>
      </c>
      <c r="AH22" s="100">
        <v>850</v>
      </c>
      <c r="AI22" s="100">
        <v>850</v>
      </c>
      <c r="AJ22" s="100">
        <v>850</v>
      </c>
      <c r="AK22" s="100">
        <v>850</v>
      </c>
      <c r="AL22" s="100">
        <v>850</v>
      </c>
      <c r="AM22" s="100">
        <v>850</v>
      </c>
      <c r="AN22" s="100">
        <v>850</v>
      </c>
      <c r="AO22" s="100">
        <v>850</v>
      </c>
      <c r="AP22" s="100">
        <v>850</v>
      </c>
      <c r="AQ22" s="100">
        <v>850</v>
      </c>
      <c r="AR22" s="100">
        <v>850</v>
      </c>
      <c r="AS22" s="100">
        <v>850</v>
      </c>
      <c r="AT22" s="100">
        <v>850</v>
      </c>
      <c r="AU22" s="100">
        <v>850</v>
      </c>
      <c r="AV22" s="100">
        <v>850</v>
      </c>
      <c r="AW22" s="100">
        <v>850</v>
      </c>
      <c r="AX22" s="100">
        <v>850</v>
      </c>
      <c r="AY22" s="100">
        <v>850</v>
      </c>
      <c r="AZ22" s="100">
        <v>850</v>
      </c>
      <c r="BA22" s="100">
        <v>850</v>
      </c>
      <c r="BB22" s="100">
        <v>850</v>
      </c>
      <c r="BC22" s="100">
        <v>850</v>
      </c>
      <c r="BD22" s="100">
        <v>850</v>
      </c>
      <c r="BE22" s="100">
        <v>850</v>
      </c>
      <c r="BF22" s="100">
        <v>850</v>
      </c>
      <c r="BG22" s="100">
        <v>850</v>
      </c>
      <c r="BH22" s="100">
        <v>850</v>
      </c>
      <c r="BI22" s="100">
        <v>850</v>
      </c>
      <c r="BJ22" s="100">
        <v>850</v>
      </c>
    </row>
    <row r="23" spans="1:62" s="328" customFormat="1" ht="12">
      <c r="A23" s="216" t="s">
        <v>297</v>
      </c>
      <c r="B23" s="100">
        <f t="shared" si="22"/>
        <v>1680000</v>
      </c>
      <c r="C23" s="100">
        <v>28000</v>
      </c>
      <c r="D23" s="100">
        <v>28000</v>
      </c>
      <c r="E23" s="100">
        <v>28000</v>
      </c>
      <c r="F23" s="100">
        <v>28000</v>
      </c>
      <c r="G23" s="100">
        <v>28000</v>
      </c>
      <c r="H23" s="100">
        <v>28000</v>
      </c>
      <c r="I23" s="100">
        <v>28000</v>
      </c>
      <c r="J23" s="100">
        <v>28000</v>
      </c>
      <c r="K23" s="100">
        <v>28000</v>
      </c>
      <c r="L23" s="100">
        <v>28000</v>
      </c>
      <c r="M23" s="100">
        <v>28000</v>
      </c>
      <c r="N23" s="100">
        <v>28000</v>
      </c>
      <c r="O23" s="100">
        <v>28000</v>
      </c>
      <c r="P23" s="100">
        <v>28000</v>
      </c>
      <c r="Q23" s="100">
        <v>28000</v>
      </c>
      <c r="R23" s="100">
        <v>28000</v>
      </c>
      <c r="S23" s="100">
        <v>28000</v>
      </c>
      <c r="T23" s="100">
        <v>28000</v>
      </c>
      <c r="U23" s="100">
        <v>28000</v>
      </c>
      <c r="V23" s="100">
        <v>28000</v>
      </c>
      <c r="W23" s="100">
        <v>28000</v>
      </c>
      <c r="X23" s="100">
        <v>28000</v>
      </c>
      <c r="Y23" s="100">
        <v>28000</v>
      </c>
      <c r="Z23" s="100">
        <v>28000</v>
      </c>
      <c r="AA23" s="100">
        <v>28000</v>
      </c>
      <c r="AB23" s="100">
        <v>28000</v>
      </c>
      <c r="AC23" s="100">
        <v>28000</v>
      </c>
      <c r="AD23" s="100">
        <v>28000</v>
      </c>
      <c r="AE23" s="100">
        <v>28000</v>
      </c>
      <c r="AF23" s="100">
        <v>28000</v>
      </c>
      <c r="AG23" s="100">
        <v>28000</v>
      </c>
      <c r="AH23" s="100">
        <v>28000</v>
      </c>
      <c r="AI23" s="100">
        <v>28000</v>
      </c>
      <c r="AJ23" s="100">
        <v>28000</v>
      </c>
      <c r="AK23" s="100">
        <v>28000</v>
      </c>
      <c r="AL23" s="100">
        <v>28000</v>
      </c>
      <c r="AM23" s="100">
        <v>28000</v>
      </c>
      <c r="AN23" s="100">
        <v>28000</v>
      </c>
      <c r="AO23" s="100">
        <v>28000</v>
      </c>
      <c r="AP23" s="100">
        <v>28000</v>
      </c>
      <c r="AQ23" s="100">
        <v>28000</v>
      </c>
      <c r="AR23" s="100">
        <v>28000</v>
      </c>
      <c r="AS23" s="100">
        <v>28000</v>
      </c>
      <c r="AT23" s="100">
        <v>28000</v>
      </c>
      <c r="AU23" s="100">
        <v>28000</v>
      </c>
      <c r="AV23" s="100">
        <v>28000</v>
      </c>
      <c r="AW23" s="100">
        <v>28000</v>
      </c>
      <c r="AX23" s="100">
        <v>28000</v>
      </c>
      <c r="AY23" s="100">
        <v>28000</v>
      </c>
      <c r="AZ23" s="100">
        <v>28000</v>
      </c>
      <c r="BA23" s="100">
        <v>28000</v>
      </c>
      <c r="BB23" s="100">
        <v>28000</v>
      </c>
      <c r="BC23" s="100">
        <v>28000</v>
      </c>
      <c r="BD23" s="100">
        <v>28000</v>
      </c>
      <c r="BE23" s="100">
        <v>28000</v>
      </c>
      <c r="BF23" s="100">
        <v>28000</v>
      </c>
      <c r="BG23" s="100">
        <v>28000</v>
      </c>
      <c r="BH23" s="100">
        <v>28000</v>
      </c>
      <c r="BI23" s="100">
        <v>28000</v>
      </c>
      <c r="BJ23" s="100">
        <v>28000</v>
      </c>
    </row>
    <row r="24" spans="1:62" s="328" customFormat="1" ht="12">
      <c r="A24" s="216" t="s">
        <v>296</v>
      </c>
      <c r="B24" s="100">
        <f t="shared" si="22"/>
        <v>24000</v>
      </c>
      <c r="C24" s="100">
        <v>400</v>
      </c>
      <c r="D24" s="100">
        <v>400</v>
      </c>
      <c r="E24" s="100">
        <v>400</v>
      </c>
      <c r="F24" s="100">
        <v>400</v>
      </c>
      <c r="G24" s="100">
        <v>400</v>
      </c>
      <c r="H24" s="100">
        <v>400</v>
      </c>
      <c r="I24" s="100">
        <v>400</v>
      </c>
      <c r="J24" s="100">
        <v>400</v>
      </c>
      <c r="K24" s="100">
        <v>400</v>
      </c>
      <c r="L24" s="100">
        <v>400</v>
      </c>
      <c r="M24" s="100">
        <v>400</v>
      </c>
      <c r="N24" s="100">
        <v>400</v>
      </c>
      <c r="O24" s="100">
        <v>400</v>
      </c>
      <c r="P24" s="100">
        <v>400</v>
      </c>
      <c r="Q24" s="100">
        <v>400</v>
      </c>
      <c r="R24" s="100">
        <v>400</v>
      </c>
      <c r="S24" s="100">
        <v>400</v>
      </c>
      <c r="T24" s="100">
        <v>400</v>
      </c>
      <c r="U24" s="100">
        <v>400</v>
      </c>
      <c r="V24" s="100">
        <v>400</v>
      </c>
      <c r="W24" s="100">
        <v>400</v>
      </c>
      <c r="X24" s="100">
        <v>400</v>
      </c>
      <c r="Y24" s="100">
        <v>400</v>
      </c>
      <c r="Z24" s="100">
        <v>400</v>
      </c>
      <c r="AA24" s="100">
        <v>400</v>
      </c>
      <c r="AB24" s="100">
        <v>400</v>
      </c>
      <c r="AC24" s="100">
        <v>400</v>
      </c>
      <c r="AD24" s="100">
        <v>400</v>
      </c>
      <c r="AE24" s="100">
        <v>400</v>
      </c>
      <c r="AF24" s="100">
        <v>400</v>
      </c>
      <c r="AG24" s="100">
        <v>400</v>
      </c>
      <c r="AH24" s="100">
        <v>400</v>
      </c>
      <c r="AI24" s="100">
        <v>400</v>
      </c>
      <c r="AJ24" s="100">
        <v>400</v>
      </c>
      <c r="AK24" s="100">
        <v>400</v>
      </c>
      <c r="AL24" s="100">
        <v>400</v>
      </c>
      <c r="AM24" s="100">
        <v>400</v>
      </c>
      <c r="AN24" s="100">
        <v>400</v>
      </c>
      <c r="AO24" s="100">
        <v>400</v>
      </c>
      <c r="AP24" s="100">
        <v>400</v>
      </c>
      <c r="AQ24" s="100">
        <v>400</v>
      </c>
      <c r="AR24" s="100">
        <v>400</v>
      </c>
      <c r="AS24" s="100">
        <v>400</v>
      </c>
      <c r="AT24" s="100">
        <v>400</v>
      </c>
      <c r="AU24" s="100">
        <v>400</v>
      </c>
      <c r="AV24" s="100">
        <v>400</v>
      </c>
      <c r="AW24" s="100">
        <v>400</v>
      </c>
      <c r="AX24" s="100">
        <v>400</v>
      </c>
      <c r="AY24" s="100">
        <v>400</v>
      </c>
      <c r="AZ24" s="100">
        <v>400</v>
      </c>
      <c r="BA24" s="100">
        <v>400</v>
      </c>
      <c r="BB24" s="100">
        <v>400</v>
      </c>
      <c r="BC24" s="100">
        <v>400</v>
      </c>
      <c r="BD24" s="100">
        <v>400</v>
      </c>
      <c r="BE24" s="100">
        <v>400</v>
      </c>
      <c r="BF24" s="100">
        <v>400</v>
      </c>
      <c r="BG24" s="100">
        <v>400</v>
      </c>
      <c r="BH24" s="100">
        <v>400</v>
      </c>
      <c r="BI24" s="100">
        <v>400</v>
      </c>
      <c r="BJ24" s="100">
        <v>400</v>
      </c>
    </row>
    <row r="25" spans="1:62" s="328" customFormat="1" ht="12">
      <c r="A25" s="216" t="s">
        <v>295</v>
      </c>
      <c r="B25" s="100">
        <f t="shared" si="22"/>
        <v>90000</v>
      </c>
      <c r="C25" s="100">
        <v>1500</v>
      </c>
      <c r="D25" s="100">
        <v>1500</v>
      </c>
      <c r="E25" s="100">
        <v>1500</v>
      </c>
      <c r="F25" s="100">
        <v>1500</v>
      </c>
      <c r="G25" s="100">
        <v>1500</v>
      </c>
      <c r="H25" s="100">
        <v>1500</v>
      </c>
      <c r="I25" s="100">
        <v>1500</v>
      </c>
      <c r="J25" s="100">
        <v>1500</v>
      </c>
      <c r="K25" s="100">
        <v>1500</v>
      </c>
      <c r="L25" s="100">
        <v>1500</v>
      </c>
      <c r="M25" s="100">
        <v>1500</v>
      </c>
      <c r="N25" s="100">
        <v>1500</v>
      </c>
      <c r="O25" s="100">
        <v>1500</v>
      </c>
      <c r="P25" s="100">
        <v>1500</v>
      </c>
      <c r="Q25" s="100">
        <v>1500</v>
      </c>
      <c r="R25" s="100">
        <v>1500</v>
      </c>
      <c r="S25" s="100">
        <v>1500</v>
      </c>
      <c r="T25" s="100">
        <v>1500</v>
      </c>
      <c r="U25" s="100">
        <v>1500</v>
      </c>
      <c r="V25" s="100">
        <v>1500</v>
      </c>
      <c r="W25" s="100">
        <v>1500</v>
      </c>
      <c r="X25" s="100">
        <v>1500</v>
      </c>
      <c r="Y25" s="100">
        <v>1500</v>
      </c>
      <c r="Z25" s="100">
        <v>1500</v>
      </c>
      <c r="AA25" s="100">
        <v>1500</v>
      </c>
      <c r="AB25" s="100">
        <v>1500</v>
      </c>
      <c r="AC25" s="100">
        <v>1500</v>
      </c>
      <c r="AD25" s="100">
        <v>1500</v>
      </c>
      <c r="AE25" s="100">
        <v>1500</v>
      </c>
      <c r="AF25" s="100">
        <v>1500</v>
      </c>
      <c r="AG25" s="100">
        <v>1500</v>
      </c>
      <c r="AH25" s="100">
        <v>1500</v>
      </c>
      <c r="AI25" s="100">
        <v>1500</v>
      </c>
      <c r="AJ25" s="100">
        <v>1500</v>
      </c>
      <c r="AK25" s="100">
        <v>1500</v>
      </c>
      <c r="AL25" s="100">
        <v>1500</v>
      </c>
      <c r="AM25" s="100">
        <v>1500</v>
      </c>
      <c r="AN25" s="100">
        <v>1500</v>
      </c>
      <c r="AO25" s="100">
        <v>1500</v>
      </c>
      <c r="AP25" s="100">
        <v>1500</v>
      </c>
      <c r="AQ25" s="100">
        <v>1500</v>
      </c>
      <c r="AR25" s="100">
        <v>1500</v>
      </c>
      <c r="AS25" s="100">
        <v>1500</v>
      </c>
      <c r="AT25" s="100">
        <v>1500</v>
      </c>
      <c r="AU25" s="100">
        <v>1500</v>
      </c>
      <c r="AV25" s="100">
        <v>1500</v>
      </c>
      <c r="AW25" s="100">
        <v>1500</v>
      </c>
      <c r="AX25" s="100">
        <v>1500</v>
      </c>
      <c r="AY25" s="100">
        <v>1500</v>
      </c>
      <c r="AZ25" s="100">
        <v>1500</v>
      </c>
      <c r="BA25" s="100">
        <v>1500</v>
      </c>
      <c r="BB25" s="100">
        <v>1500</v>
      </c>
      <c r="BC25" s="100">
        <v>1500</v>
      </c>
      <c r="BD25" s="100">
        <v>1500</v>
      </c>
      <c r="BE25" s="100">
        <v>1500</v>
      </c>
      <c r="BF25" s="100">
        <v>1500</v>
      </c>
      <c r="BG25" s="100">
        <v>1500</v>
      </c>
      <c r="BH25" s="100">
        <v>1500</v>
      </c>
      <c r="BI25" s="100">
        <v>1500</v>
      </c>
      <c r="BJ25" s="100">
        <v>1500</v>
      </c>
    </row>
    <row r="26" spans="1:62" s="328" customFormat="1" ht="12">
      <c r="A26" s="216" t="s">
        <v>150</v>
      </c>
      <c r="B26" s="100">
        <f t="shared" si="22"/>
        <v>553036.5</v>
      </c>
      <c r="C26" s="100">
        <f>Амортизація!C24</f>
        <v>0</v>
      </c>
      <c r="D26" s="100">
        <f>Амортизація!D24</f>
        <v>9373.5</v>
      </c>
      <c r="E26" s="100">
        <f>Амортизація!E24</f>
        <v>9373.5</v>
      </c>
      <c r="F26" s="100">
        <f>Амортизація!F24</f>
        <v>9373.5</v>
      </c>
      <c r="G26" s="100">
        <f>Амортизація!G24</f>
        <v>9373.5</v>
      </c>
      <c r="H26" s="100">
        <f>Амортизація!H24</f>
        <v>9373.5</v>
      </c>
      <c r="I26" s="100">
        <f>Амортизація!I24</f>
        <v>9373.5</v>
      </c>
      <c r="J26" s="100">
        <f>Амортизація!J24</f>
        <v>9373.5</v>
      </c>
      <c r="K26" s="100">
        <f>Амортизація!K24</f>
        <v>9373.5</v>
      </c>
      <c r="L26" s="100">
        <f>Амортизація!L24</f>
        <v>9373.5</v>
      </c>
      <c r="M26" s="100">
        <f>Амортизація!M24</f>
        <v>9373.5</v>
      </c>
      <c r="N26" s="100">
        <f>Амортизація!N24</f>
        <v>9373.5</v>
      </c>
      <c r="O26" s="100">
        <f>Амортизація!O24</f>
        <v>9373.5</v>
      </c>
      <c r="P26" s="100">
        <f>Амортизація!P24</f>
        <v>9373.5</v>
      </c>
      <c r="Q26" s="100">
        <f>Амортизація!Q24</f>
        <v>9373.5</v>
      </c>
      <c r="R26" s="100">
        <f>Амортизація!R24</f>
        <v>9373.5</v>
      </c>
      <c r="S26" s="100">
        <f>Амортизація!S24</f>
        <v>9373.5</v>
      </c>
      <c r="T26" s="100">
        <f>Амортизація!T24</f>
        <v>9373.5</v>
      </c>
      <c r="U26" s="100">
        <f>Амортизація!U24</f>
        <v>9373.5</v>
      </c>
      <c r="V26" s="100">
        <f>Амортизація!V24</f>
        <v>9373.5</v>
      </c>
      <c r="W26" s="100">
        <f>Амортизація!W24</f>
        <v>9373.5</v>
      </c>
      <c r="X26" s="100">
        <f>Амортизація!X24</f>
        <v>9373.5</v>
      </c>
      <c r="Y26" s="100">
        <f>Амортизація!Y24</f>
        <v>9373.5</v>
      </c>
      <c r="Z26" s="100">
        <f>Амортизація!Z24</f>
        <v>9373.5</v>
      </c>
      <c r="AA26" s="100">
        <f>Амортизація!AA24</f>
        <v>9373.5</v>
      </c>
      <c r="AB26" s="100">
        <f>Амортизація!AB24</f>
        <v>9373.5</v>
      </c>
      <c r="AC26" s="100">
        <f>Амортизація!AC24</f>
        <v>9373.5</v>
      </c>
      <c r="AD26" s="100">
        <f>Амортизація!AD24</f>
        <v>9373.5</v>
      </c>
      <c r="AE26" s="100">
        <f>Амортизація!AE24</f>
        <v>9373.5</v>
      </c>
      <c r="AF26" s="100">
        <f>Амортизація!AF24</f>
        <v>9373.5</v>
      </c>
      <c r="AG26" s="100">
        <f>Амортизація!AG24</f>
        <v>9373.5</v>
      </c>
      <c r="AH26" s="100">
        <f>Амортизація!AH24</f>
        <v>9373.5</v>
      </c>
      <c r="AI26" s="100">
        <f>Амортизація!AI24</f>
        <v>9373.5</v>
      </c>
      <c r="AJ26" s="100">
        <f>Амортизація!AJ24</f>
        <v>9373.5</v>
      </c>
      <c r="AK26" s="100">
        <f>Амортизація!AK24</f>
        <v>9373.5</v>
      </c>
      <c r="AL26" s="100">
        <f>Амортизація!AL24</f>
        <v>9373.5</v>
      </c>
      <c r="AM26" s="100">
        <f>Амортизація!AM24</f>
        <v>9373.5</v>
      </c>
      <c r="AN26" s="100">
        <f>Амортизація!AN24</f>
        <v>9373.5</v>
      </c>
      <c r="AO26" s="100">
        <f>Амортизація!AO24</f>
        <v>9373.5</v>
      </c>
      <c r="AP26" s="100">
        <f>Амортизація!AP24</f>
        <v>9373.5</v>
      </c>
      <c r="AQ26" s="100">
        <f>Амортизація!AQ24</f>
        <v>9373.5</v>
      </c>
      <c r="AR26" s="100">
        <f>Амортизація!AR24</f>
        <v>9373.5</v>
      </c>
      <c r="AS26" s="100">
        <f>Амортизація!AS24</f>
        <v>9373.5</v>
      </c>
      <c r="AT26" s="100">
        <f>Амортизація!AT24</f>
        <v>9373.5</v>
      </c>
      <c r="AU26" s="100">
        <f>Амортизація!AU24</f>
        <v>9373.5</v>
      </c>
      <c r="AV26" s="100">
        <f>Амортизація!AV24</f>
        <v>9373.5</v>
      </c>
      <c r="AW26" s="100">
        <f>Амортизація!AW24</f>
        <v>9373.5</v>
      </c>
      <c r="AX26" s="100">
        <f>Амортизація!AX24</f>
        <v>9373.5</v>
      </c>
      <c r="AY26" s="100">
        <f>Амортизація!AY24</f>
        <v>9373.5</v>
      </c>
      <c r="AZ26" s="100">
        <f>Амортизація!AZ24</f>
        <v>9373.5</v>
      </c>
      <c r="BA26" s="100">
        <f>Амортизація!BA24</f>
        <v>9373.5</v>
      </c>
      <c r="BB26" s="100">
        <f>Амортизація!BB24</f>
        <v>9373.5</v>
      </c>
      <c r="BC26" s="100">
        <f>Амортизація!BC24</f>
        <v>9373.5</v>
      </c>
      <c r="BD26" s="100">
        <f>Амортизація!BD24</f>
        <v>9373.5</v>
      </c>
      <c r="BE26" s="100">
        <f>Амортизація!BE24</f>
        <v>9373.5</v>
      </c>
      <c r="BF26" s="100">
        <f>Амортизація!BF24</f>
        <v>9373.5</v>
      </c>
      <c r="BG26" s="100">
        <f>Амортизація!BG24</f>
        <v>9373.5</v>
      </c>
      <c r="BH26" s="100">
        <f>Амортизація!BH24</f>
        <v>9373.5</v>
      </c>
      <c r="BI26" s="100">
        <f>Амортизація!BI24</f>
        <v>9373.5</v>
      </c>
      <c r="BJ26" s="100">
        <f>Амортизація!BJ24</f>
        <v>9373.5</v>
      </c>
    </row>
    <row r="27" spans="1:62" s="10" customFormat="1" ht="13.5" customHeight="1">
      <c r="A27" s="388" t="s">
        <v>0</v>
      </c>
      <c r="B27" s="111">
        <f>SUM(C27:BJ27)</f>
        <v>51901760.984946817</v>
      </c>
      <c r="C27" s="111">
        <f t="shared" ref="C27:AL27" si="33">C4+C9</f>
        <v>1257366.29</v>
      </c>
      <c r="D27" s="111">
        <f t="shared" si="33"/>
        <v>1013818.3327624999</v>
      </c>
      <c r="E27" s="111">
        <f t="shared" si="33"/>
        <v>770554.03881293756</v>
      </c>
      <c r="F27" s="111">
        <f t="shared" si="33"/>
        <v>673495.2528279759</v>
      </c>
      <c r="G27" s="111">
        <f t="shared" si="33"/>
        <v>773008.08198130724</v>
      </c>
      <c r="H27" s="111">
        <f t="shared" si="33"/>
        <v>774239.70681126055</v>
      </c>
      <c r="I27" s="111">
        <f t="shared" si="33"/>
        <v>775474.41070328874</v>
      </c>
      <c r="J27" s="111">
        <f t="shared" si="33"/>
        <v>776712.20135504683</v>
      </c>
      <c r="K27" s="111">
        <f t="shared" si="33"/>
        <v>678434.09918674757</v>
      </c>
      <c r="L27" s="111">
        <f t="shared" si="33"/>
        <v>779197.07382464292</v>
      </c>
      <c r="M27" s="111">
        <f t="shared" si="33"/>
        <v>780444.17113420437</v>
      </c>
      <c r="N27" s="111">
        <f t="shared" si="33"/>
        <v>781694.38618704001</v>
      </c>
      <c r="O27" s="111">
        <f t="shared" si="33"/>
        <v>1287181.6035550151</v>
      </c>
      <c r="P27" s="111">
        <f t="shared" si="33"/>
        <v>1037771.5260791769</v>
      </c>
      <c r="Q27" s="111">
        <f t="shared" si="33"/>
        <v>787108.11584624986</v>
      </c>
      <c r="R27" s="111">
        <f t="shared" si="33"/>
        <v>687097.1940086924</v>
      </c>
      <c r="S27" s="111">
        <f t="shared" si="33"/>
        <v>789636.8010858926</v>
      </c>
      <c r="T27" s="111">
        <f t="shared" si="33"/>
        <v>790905.88696360728</v>
      </c>
      <c r="U27" s="111">
        <f t="shared" si="33"/>
        <v>792178.14555601624</v>
      </c>
      <c r="V27" s="111">
        <f t="shared" si="33"/>
        <v>793453.58479490632</v>
      </c>
      <c r="W27" s="111">
        <f t="shared" si="33"/>
        <v>692186.2601055149</v>
      </c>
      <c r="X27" s="111">
        <f t="shared" si="33"/>
        <v>796014.03703847318</v>
      </c>
      <c r="Y27" s="111">
        <f t="shared" si="33"/>
        <v>797299.0660060693</v>
      </c>
      <c r="Z27" s="111">
        <f t="shared" si="33"/>
        <v>798587.30754608451</v>
      </c>
      <c r="AA27" s="111">
        <f t="shared" si="33"/>
        <v>1326497.7253798994</v>
      </c>
      <c r="AB27" s="111">
        <f t="shared" si="33"/>
        <v>1069501.6017337618</v>
      </c>
      <c r="AC27" s="111">
        <f t="shared" si="33"/>
        <v>811214.02401539753</v>
      </c>
      <c r="AD27" s="111">
        <f t="shared" si="33"/>
        <v>708161.17428834888</v>
      </c>
      <c r="AE27" s="111">
        <f t="shared" si="33"/>
        <v>813819.62163633713</v>
      </c>
      <c r="AF27" s="111">
        <f t="shared" si="33"/>
        <v>815127.30797542783</v>
      </c>
      <c r="AG27" s="111">
        <f t="shared" si="33"/>
        <v>816438.26353036647</v>
      </c>
      <c r="AH27" s="111">
        <f t="shared" si="33"/>
        <v>817752.49647419248</v>
      </c>
      <c r="AI27" s="111">
        <f t="shared" si="33"/>
        <v>713405.0292003022</v>
      </c>
      <c r="AJ27" s="111">
        <f t="shared" si="33"/>
        <v>820390.82732287887</v>
      </c>
      <c r="AK27" s="111">
        <f t="shared" si="33"/>
        <v>821714.94167618593</v>
      </c>
      <c r="AL27" s="111">
        <f t="shared" si="33"/>
        <v>823042.36631537636</v>
      </c>
      <c r="AM27" s="111">
        <f t="shared" ref="AM27:BJ27" si="34">AM4+AM9</f>
        <v>1366588.6458123294</v>
      </c>
      <c r="AN27" s="111">
        <f t="shared" si="34"/>
        <v>1101775.7391424326</v>
      </c>
      <c r="AO27" s="111">
        <f t="shared" si="34"/>
        <v>835632.09758889244</v>
      </c>
      <c r="AP27" s="111">
        <f t="shared" si="34"/>
        <v>729444.79682473163</v>
      </c>
      <c r="AQ27" s="111">
        <f t="shared" si="34"/>
        <v>838316.94695480436</v>
      </c>
      <c r="AR27" s="111">
        <f t="shared" si="34"/>
        <v>839664.40782524133</v>
      </c>
      <c r="AS27" s="111">
        <f t="shared" si="34"/>
        <v>841015.23734785442</v>
      </c>
      <c r="AT27" s="111">
        <f t="shared" si="34"/>
        <v>842369.44394427398</v>
      </c>
      <c r="AU27" s="111">
        <f t="shared" si="34"/>
        <v>734848.14860174758</v>
      </c>
      <c r="AV27" s="111">
        <f t="shared" si="34"/>
        <v>845088.02215037763</v>
      </c>
      <c r="AW27" s="111">
        <f t="shared" si="34"/>
        <v>846452.41070880345</v>
      </c>
      <c r="AX27" s="111">
        <f t="shared" si="34"/>
        <v>847820.21023862541</v>
      </c>
      <c r="AY27" s="111">
        <f t="shared" si="34"/>
        <v>1408012.8707419438</v>
      </c>
      <c r="AZ27" s="111">
        <f t="shared" si="34"/>
        <v>1135145.4261126351</v>
      </c>
      <c r="BA27" s="111">
        <f t="shared" si="34"/>
        <v>860906.77102479886</v>
      </c>
      <c r="BB27" s="111">
        <f t="shared" si="34"/>
        <v>751489.6818958337</v>
      </c>
      <c r="BC27" s="111">
        <f t="shared" si="34"/>
        <v>863673.28265334351</v>
      </c>
      <c r="BD27" s="111">
        <f t="shared" si="34"/>
        <v>865061.72783555847</v>
      </c>
      <c r="BE27" s="111">
        <f t="shared" si="34"/>
        <v>866453.64413072879</v>
      </c>
      <c r="BF27" s="111">
        <f t="shared" si="34"/>
        <v>867849.04021663719</v>
      </c>
      <c r="BG27" s="111">
        <f t="shared" si="34"/>
        <v>757057.38178768824</v>
      </c>
      <c r="BH27" s="111">
        <f t="shared" si="34"/>
        <v>870650.30658032361</v>
      </c>
      <c r="BI27" s="111">
        <f t="shared" si="34"/>
        <v>872056.19432235591</v>
      </c>
      <c r="BJ27" s="111">
        <f t="shared" si="34"/>
        <v>873465.59678374324</v>
      </c>
    </row>
    <row r="28" spans="1:62" s="10" customFormat="1" ht="13.5" customHeight="1">
      <c r="A28" s="388" t="s">
        <v>37</v>
      </c>
      <c r="B28" s="111">
        <f>SUM(C28:BJ28)</f>
        <v>52454797.48494681</v>
      </c>
      <c r="C28" s="111">
        <f>C26+C27</f>
        <v>1257366.29</v>
      </c>
      <c r="D28" s="111">
        <f>D26+D27</f>
        <v>1023191.8327624999</v>
      </c>
      <c r="E28" s="111">
        <f t="shared" ref="E28:BJ28" si="35">E26+E27</f>
        <v>779927.53881293756</v>
      </c>
      <c r="F28" s="111">
        <f t="shared" si="35"/>
        <v>682868.7528279759</v>
      </c>
      <c r="G28" s="111">
        <f t="shared" si="35"/>
        <v>782381.58198130724</v>
      </c>
      <c r="H28" s="111">
        <f t="shared" si="35"/>
        <v>783613.20681126055</v>
      </c>
      <c r="I28" s="111">
        <f t="shared" si="35"/>
        <v>784847.91070328874</v>
      </c>
      <c r="J28" s="111">
        <f t="shared" si="35"/>
        <v>786085.70135504683</v>
      </c>
      <c r="K28" s="111">
        <f t="shared" si="35"/>
        <v>687807.59918674757</v>
      </c>
      <c r="L28" s="111">
        <f t="shared" si="35"/>
        <v>788570.57382464292</v>
      </c>
      <c r="M28" s="111">
        <f t="shared" si="35"/>
        <v>789817.67113420437</v>
      </c>
      <c r="N28" s="111">
        <f t="shared" si="35"/>
        <v>791067.88618704001</v>
      </c>
      <c r="O28" s="111">
        <f t="shared" si="35"/>
        <v>1296555.1035550151</v>
      </c>
      <c r="P28" s="111">
        <f t="shared" si="35"/>
        <v>1047145.0260791769</v>
      </c>
      <c r="Q28" s="111">
        <f t="shared" si="35"/>
        <v>796481.61584624986</v>
      </c>
      <c r="R28" s="111">
        <f t="shared" si="35"/>
        <v>696470.6940086924</v>
      </c>
      <c r="S28" s="111">
        <f t="shared" si="35"/>
        <v>799010.3010858926</v>
      </c>
      <c r="T28" s="111">
        <f t="shared" si="35"/>
        <v>800279.38696360728</v>
      </c>
      <c r="U28" s="111">
        <f t="shared" si="35"/>
        <v>801551.64555601624</v>
      </c>
      <c r="V28" s="111">
        <f t="shared" si="35"/>
        <v>802827.08479490632</v>
      </c>
      <c r="W28" s="111">
        <f t="shared" si="35"/>
        <v>701559.7601055149</v>
      </c>
      <c r="X28" s="111">
        <f t="shared" si="35"/>
        <v>805387.53703847318</v>
      </c>
      <c r="Y28" s="111">
        <f t="shared" si="35"/>
        <v>806672.5660060693</v>
      </c>
      <c r="Z28" s="111">
        <f t="shared" si="35"/>
        <v>807960.80754608451</v>
      </c>
      <c r="AA28" s="111">
        <f t="shared" si="35"/>
        <v>1335871.2253798994</v>
      </c>
      <c r="AB28" s="111">
        <f t="shared" si="35"/>
        <v>1078875.1017337618</v>
      </c>
      <c r="AC28" s="111">
        <f t="shared" si="35"/>
        <v>820587.52401539753</v>
      </c>
      <c r="AD28" s="111">
        <f t="shared" si="35"/>
        <v>717534.67428834888</v>
      </c>
      <c r="AE28" s="111">
        <f t="shared" si="35"/>
        <v>823193.12163633713</v>
      </c>
      <c r="AF28" s="111">
        <f t="shared" si="35"/>
        <v>824500.80797542783</v>
      </c>
      <c r="AG28" s="111">
        <f t="shared" si="35"/>
        <v>825811.76353036647</v>
      </c>
      <c r="AH28" s="111">
        <f t="shared" si="35"/>
        <v>827125.99647419248</v>
      </c>
      <c r="AI28" s="111">
        <f t="shared" si="35"/>
        <v>722778.5292003022</v>
      </c>
      <c r="AJ28" s="111">
        <f t="shared" si="35"/>
        <v>829764.32732287887</v>
      </c>
      <c r="AK28" s="111">
        <f t="shared" si="35"/>
        <v>831088.44167618593</v>
      </c>
      <c r="AL28" s="111">
        <f t="shared" si="35"/>
        <v>832415.86631537636</v>
      </c>
      <c r="AM28" s="111">
        <f t="shared" si="35"/>
        <v>1375962.1458123294</v>
      </c>
      <c r="AN28" s="111">
        <f t="shared" si="35"/>
        <v>1111149.2391424326</v>
      </c>
      <c r="AO28" s="111">
        <f t="shared" si="35"/>
        <v>845005.59758889244</v>
      </c>
      <c r="AP28" s="111">
        <f t="shared" si="35"/>
        <v>738818.29682473163</v>
      </c>
      <c r="AQ28" s="111">
        <f t="shared" si="35"/>
        <v>847690.44695480436</v>
      </c>
      <c r="AR28" s="111">
        <f t="shared" si="35"/>
        <v>849037.90782524133</v>
      </c>
      <c r="AS28" s="111">
        <f t="shared" si="35"/>
        <v>850388.73734785442</v>
      </c>
      <c r="AT28" s="111">
        <f t="shared" si="35"/>
        <v>851742.94394427398</v>
      </c>
      <c r="AU28" s="111">
        <f t="shared" si="35"/>
        <v>744221.64860174758</v>
      </c>
      <c r="AV28" s="111">
        <f t="shared" si="35"/>
        <v>854461.52215037763</v>
      </c>
      <c r="AW28" s="111">
        <f t="shared" si="35"/>
        <v>855825.91070880345</v>
      </c>
      <c r="AX28" s="111">
        <f t="shared" si="35"/>
        <v>857193.71023862541</v>
      </c>
      <c r="AY28" s="111">
        <f t="shared" si="35"/>
        <v>1417386.3707419438</v>
      </c>
      <c r="AZ28" s="111">
        <f t="shared" si="35"/>
        <v>1144518.9261126351</v>
      </c>
      <c r="BA28" s="111">
        <f t="shared" si="35"/>
        <v>870280.27102479886</v>
      </c>
      <c r="BB28" s="111">
        <f t="shared" si="35"/>
        <v>760863.1818958337</v>
      </c>
      <c r="BC28" s="111">
        <f t="shared" si="35"/>
        <v>873046.78265334351</v>
      </c>
      <c r="BD28" s="111">
        <f t="shared" si="35"/>
        <v>874435.22783555847</v>
      </c>
      <c r="BE28" s="111">
        <f t="shared" si="35"/>
        <v>875827.14413072879</v>
      </c>
      <c r="BF28" s="111">
        <f t="shared" si="35"/>
        <v>877222.54021663719</v>
      </c>
      <c r="BG28" s="111">
        <f t="shared" si="35"/>
        <v>766430.88178768824</v>
      </c>
      <c r="BH28" s="111">
        <f t="shared" si="35"/>
        <v>880023.80658032361</v>
      </c>
      <c r="BI28" s="111">
        <f t="shared" si="35"/>
        <v>881429.69432235591</v>
      </c>
      <c r="BJ28" s="111">
        <f t="shared" si="35"/>
        <v>882839.09678374324</v>
      </c>
    </row>
    <row r="29" spans="1:6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62">
      <c r="A30" s="15" t="s">
        <v>127</v>
      </c>
      <c r="B30" s="16"/>
      <c r="C30" s="267">
        <v>1</v>
      </c>
      <c r="D30" s="267">
        <v>1</v>
      </c>
      <c r="E30" s="267">
        <v>1</v>
      </c>
      <c r="F30" s="267">
        <v>1</v>
      </c>
      <c r="G30" s="267">
        <v>1</v>
      </c>
      <c r="H30" s="267">
        <v>1</v>
      </c>
      <c r="I30" s="267">
        <v>1</v>
      </c>
      <c r="J30" s="267">
        <v>1</v>
      </c>
      <c r="K30" s="267">
        <v>1</v>
      </c>
      <c r="L30" s="267">
        <v>1</v>
      </c>
      <c r="M30" s="267">
        <v>1</v>
      </c>
      <c r="N30" s="267">
        <v>1</v>
      </c>
      <c r="O30" s="267">
        <v>2</v>
      </c>
      <c r="P30" s="267">
        <v>2</v>
      </c>
      <c r="Q30" s="267">
        <v>2</v>
      </c>
      <c r="R30" s="267">
        <v>2</v>
      </c>
      <c r="S30" s="267">
        <v>2</v>
      </c>
      <c r="T30" s="267">
        <v>2</v>
      </c>
      <c r="U30" s="267">
        <v>2</v>
      </c>
      <c r="V30" s="267">
        <v>2</v>
      </c>
      <c r="W30" s="267">
        <v>2</v>
      </c>
      <c r="X30" s="267">
        <v>2</v>
      </c>
      <c r="Y30" s="267">
        <v>2</v>
      </c>
      <c r="Z30" s="267">
        <v>2</v>
      </c>
      <c r="AA30" s="267">
        <v>3</v>
      </c>
      <c r="AB30" s="267">
        <v>3</v>
      </c>
      <c r="AC30" s="267">
        <v>3</v>
      </c>
      <c r="AD30" s="267">
        <v>3</v>
      </c>
      <c r="AE30" s="267">
        <v>3</v>
      </c>
      <c r="AF30" s="267">
        <v>3</v>
      </c>
      <c r="AG30" s="267">
        <v>3</v>
      </c>
      <c r="AH30" s="267">
        <v>3</v>
      </c>
      <c r="AI30" s="267">
        <v>3</v>
      </c>
      <c r="AJ30" s="267">
        <v>3</v>
      </c>
      <c r="AK30" s="267">
        <v>3</v>
      </c>
      <c r="AL30" s="267">
        <v>3</v>
      </c>
      <c r="AM30" s="267"/>
      <c r="AN30" s="267"/>
      <c r="AO30" s="267"/>
      <c r="AP30" s="267"/>
      <c r="AQ30" s="267"/>
      <c r="AR30" s="267"/>
      <c r="AS30" s="267"/>
      <c r="AT30" s="267"/>
      <c r="AU30" s="267"/>
      <c r="AV30" s="267"/>
      <c r="AW30" s="267"/>
      <c r="AX30" s="267"/>
      <c r="AY30" s="267"/>
      <c r="AZ30" s="267"/>
      <c r="BA30" s="267"/>
      <c r="BB30" s="267"/>
      <c r="BC30" s="267"/>
      <c r="BD30" s="267"/>
      <c r="BE30" s="267"/>
      <c r="BF30" s="267"/>
      <c r="BG30" s="267"/>
      <c r="BH30" s="267"/>
      <c r="BI30" s="267"/>
      <c r="BJ30" s="267"/>
    </row>
    <row r="31" spans="1:62" ht="23">
      <c r="A31" s="30" t="s">
        <v>286</v>
      </c>
      <c r="B31" s="30"/>
      <c r="C31" s="31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62" ht="8.25" customHeight="1">
      <c r="A32" s="31"/>
      <c r="B32" s="31"/>
      <c r="C32" s="31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>
      <c r="A33" s="437" t="s">
        <v>287</v>
      </c>
      <c r="B33" s="438"/>
      <c r="C33" s="31"/>
      <c r="D33" s="372"/>
      <c r="E33" s="372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>
      <c r="A34" s="249" t="s">
        <v>307</v>
      </c>
      <c r="B34" s="380">
        <v>135</v>
      </c>
      <c r="C34" s="31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>
      <c r="A35" s="249" t="s">
        <v>308</v>
      </c>
      <c r="B35" s="382">
        <v>810</v>
      </c>
      <c r="C35" s="320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>
      <c r="A36" s="249" t="s">
        <v>309</v>
      </c>
      <c r="B36" s="381">
        <v>15</v>
      </c>
      <c r="C36" s="320"/>
      <c r="D36" s="16"/>
      <c r="E36" s="16"/>
      <c r="F36" s="15" t="s">
        <v>140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>
      <c r="A37" s="366" t="s">
        <v>310</v>
      </c>
      <c r="B37" s="381">
        <v>20</v>
      </c>
      <c r="C37" s="320"/>
      <c r="D37" s="16"/>
      <c r="E37" s="16"/>
      <c r="F37" s="267">
        <f>B37*'Анализ чувствительности'!$C$110</f>
        <v>20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>
      <c r="A38" s="249" t="s">
        <v>311</v>
      </c>
      <c r="B38" s="381">
        <v>35</v>
      </c>
      <c r="C38" s="320"/>
      <c r="D38" s="16"/>
      <c r="E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>
      <c r="A39" s="249" t="s">
        <v>312</v>
      </c>
      <c r="B39" s="381">
        <v>20</v>
      </c>
      <c r="C39" s="320"/>
      <c r="D39" s="16"/>
      <c r="E39" s="16"/>
      <c r="F39" s="267">
        <f>B39*'Анализ чувствительности'!$C$110</f>
        <v>20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>
      <c r="A40" s="249" t="s">
        <v>313</v>
      </c>
      <c r="B40" s="381">
        <v>10</v>
      </c>
      <c r="C40" s="320"/>
      <c r="D40" s="16"/>
      <c r="E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>
      <c r="A41" s="249" t="s">
        <v>314</v>
      </c>
      <c r="B41" s="381">
        <v>4950</v>
      </c>
      <c r="C41" s="320"/>
      <c r="D41" s="16"/>
      <c r="E41" s="16"/>
      <c r="F41" s="267">
        <f>B41*'Анализ чувствительности'!$C$110</f>
        <v>4950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>
      <c r="A42" s="403" t="s">
        <v>321</v>
      </c>
      <c r="B42" s="353">
        <v>135</v>
      </c>
      <c r="C42" s="320"/>
      <c r="D42" s="16"/>
      <c r="E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>
      <c r="A43" s="352"/>
      <c r="B43" s="353"/>
      <c r="C43" s="320"/>
      <c r="D43" s="16"/>
      <c r="E43" s="16"/>
      <c r="F43" s="267">
        <f>B43*'Анализ чувствительности'!$C$110</f>
        <v>0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>
      <c r="A44" s="352"/>
      <c r="B44" s="353"/>
      <c r="C44" s="320"/>
      <c r="D44" s="16"/>
      <c r="E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>
      <c r="A45" s="352"/>
      <c r="B45" s="353"/>
      <c r="C45" s="320"/>
      <c r="D45" s="16"/>
      <c r="E45" s="16"/>
      <c r="F45" s="267">
        <f>B45*'Анализ чувствительности'!$C$110</f>
        <v>0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>
      <c r="A46" s="352"/>
      <c r="B46" s="353"/>
      <c r="C46" s="320"/>
      <c r="D46" s="16"/>
      <c r="E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>
      <c r="A47" s="354"/>
      <c r="B47" s="353"/>
      <c r="C47" s="28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>
      <c r="A48" s="354"/>
      <c r="B48" s="353"/>
      <c r="C48" s="28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>
      <c r="A49" s="354"/>
      <c r="B49" s="355"/>
      <c r="C49" s="28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>
      <c r="A50" s="354"/>
      <c r="B50" s="277"/>
      <c r="C50" s="28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14">
      <c r="A51" s="356"/>
      <c r="B51" s="355"/>
      <c r="C51" s="28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 ht="16.25" customHeight="1">
      <c r="A52" s="31"/>
      <c r="B52" s="267"/>
      <c r="C52" s="31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9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9">
      <c r="A54" s="31"/>
      <c r="B54" s="31"/>
      <c r="C54" s="31"/>
      <c r="D54" s="31"/>
      <c r="E54" s="31"/>
      <c r="F54" s="31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1:29">
      <c r="A55" s="31"/>
      <c r="B55" s="31"/>
      <c r="C55" s="31"/>
      <c r="D55" s="31"/>
      <c r="E55" s="31"/>
      <c r="F55" s="31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 ht="24" customHeight="1">
      <c r="A56" s="439" t="s">
        <v>325</v>
      </c>
      <c r="B56" s="440"/>
      <c r="C56" s="440"/>
      <c r="D56" s="440"/>
      <c r="E56" s="441"/>
      <c r="F56" s="31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29" ht="26">
      <c r="A57" s="136" t="s">
        <v>239</v>
      </c>
      <c r="B57" s="136" t="s">
        <v>240</v>
      </c>
      <c r="C57" s="136" t="s">
        <v>241</v>
      </c>
      <c r="D57" s="136" t="s">
        <v>242</v>
      </c>
      <c r="E57" s="136" t="s">
        <v>243</v>
      </c>
      <c r="F57" s="31" t="s">
        <v>151</v>
      </c>
      <c r="G57" s="16"/>
      <c r="H57" s="16"/>
      <c r="I57" s="16"/>
      <c r="J57" s="15"/>
      <c r="K57" s="16"/>
      <c r="L57" s="15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47" customFormat="1">
      <c r="A58" s="333" t="s">
        <v>301</v>
      </c>
      <c r="B58" s="343">
        <f>C58-(C58*19.5%)</f>
        <v>12075</v>
      </c>
      <c r="C58" s="343">
        <v>15000</v>
      </c>
      <c r="D58" s="343">
        <v>1</v>
      </c>
      <c r="E58" s="343">
        <f>D58*C58</f>
        <v>15000</v>
      </c>
      <c r="F58" s="345">
        <f>(C58*D58)*22%</f>
        <v>3300</v>
      </c>
      <c r="G58" s="346"/>
      <c r="I58" s="346"/>
      <c r="J58" s="346"/>
      <c r="K58" s="346"/>
      <c r="L58" s="346"/>
      <c r="M58" s="346"/>
      <c r="N58" s="346"/>
      <c r="O58" s="346"/>
      <c r="P58" s="346"/>
      <c r="Q58" s="346"/>
      <c r="R58" s="346"/>
      <c r="S58" s="346"/>
      <c r="T58" s="346"/>
      <c r="U58" s="346"/>
      <c r="V58" s="346"/>
      <c r="W58" s="346"/>
      <c r="X58" s="346"/>
      <c r="Y58" s="346"/>
      <c r="Z58" s="346"/>
      <c r="AA58" s="346"/>
      <c r="AB58" s="346"/>
      <c r="AC58" s="346"/>
    </row>
    <row r="59" spans="1:29" s="347" customFormat="1">
      <c r="A59" s="333" t="s">
        <v>302</v>
      </c>
      <c r="B59" s="343">
        <f t="shared" ref="B59:B64" si="36">C59-(C59*19.5%)</f>
        <v>8050</v>
      </c>
      <c r="C59" s="343">
        <v>10000</v>
      </c>
      <c r="D59" s="343">
        <v>1</v>
      </c>
      <c r="E59" s="343">
        <f t="shared" ref="E59:E64" si="37">D59*C59</f>
        <v>10000</v>
      </c>
      <c r="F59" s="345">
        <f t="shared" ref="F59:F64" si="38">(C59*D59)*22%</f>
        <v>2200</v>
      </c>
      <c r="G59" s="346"/>
      <c r="I59" s="346"/>
      <c r="J59" s="346"/>
      <c r="K59" s="346"/>
      <c r="L59" s="346"/>
      <c r="M59" s="346"/>
      <c r="N59" s="346"/>
      <c r="O59" s="346"/>
      <c r="P59" s="346"/>
      <c r="Q59" s="346"/>
      <c r="R59" s="346"/>
      <c r="S59" s="346"/>
      <c r="T59" s="346"/>
      <c r="U59" s="346"/>
      <c r="V59" s="346"/>
      <c r="W59" s="346"/>
      <c r="X59" s="346"/>
      <c r="Y59" s="346"/>
      <c r="Z59" s="346"/>
      <c r="AA59" s="346"/>
      <c r="AB59" s="346"/>
      <c r="AC59" s="346"/>
    </row>
    <row r="60" spans="1:29" s="347" customFormat="1">
      <c r="A60" s="333" t="s">
        <v>303</v>
      </c>
      <c r="B60" s="343">
        <f t="shared" si="36"/>
        <v>8050</v>
      </c>
      <c r="C60" s="343">
        <v>10000</v>
      </c>
      <c r="D60" s="343">
        <v>2</v>
      </c>
      <c r="E60" s="343">
        <f t="shared" si="37"/>
        <v>20000</v>
      </c>
      <c r="F60" s="345">
        <f t="shared" si="38"/>
        <v>4400</v>
      </c>
      <c r="G60" s="346"/>
      <c r="I60" s="346"/>
      <c r="J60" s="346"/>
      <c r="K60" s="346"/>
      <c r="L60" s="346"/>
      <c r="M60" s="346"/>
      <c r="N60" s="346"/>
      <c r="O60" s="346"/>
      <c r="P60" s="346"/>
      <c r="Q60" s="346"/>
      <c r="R60" s="346"/>
      <c r="S60" s="346"/>
      <c r="T60" s="346"/>
      <c r="U60" s="346"/>
      <c r="V60" s="346"/>
      <c r="W60" s="346"/>
      <c r="X60" s="346"/>
      <c r="Y60" s="346"/>
      <c r="Z60" s="346"/>
      <c r="AA60" s="346"/>
      <c r="AB60" s="346"/>
      <c r="AC60" s="346"/>
    </row>
    <row r="61" spans="1:29" s="347" customFormat="1">
      <c r="A61" s="333" t="s">
        <v>304</v>
      </c>
      <c r="B61" s="343">
        <f t="shared" si="36"/>
        <v>8050</v>
      </c>
      <c r="C61" s="343">
        <v>10000</v>
      </c>
      <c r="D61" s="343">
        <v>2</v>
      </c>
      <c r="E61" s="343">
        <f t="shared" si="37"/>
        <v>20000</v>
      </c>
      <c r="F61" s="345">
        <f t="shared" si="38"/>
        <v>4400</v>
      </c>
      <c r="G61" s="346"/>
      <c r="I61" s="346"/>
      <c r="J61" s="346"/>
      <c r="K61" s="346"/>
      <c r="L61" s="346"/>
      <c r="M61" s="346"/>
      <c r="N61" s="346"/>
      <c r="O61" s="346"/>
      <c r="P61" s="346"/>
      <c r="Q61" s="346"/>
      <c r="R61" s="346"/>
      <c r="S61" s="346"/>
      <c r="T61" s="346"/>
      <c r="U61" s="346"/>
      <c r="V61" s="346"/>
      <c r="W61" s="346"/>
      <c r="X61" s="346"/>
      <c r="Y61" s="346"/>
      <c r="Z61" s="346"/>
      <c r="AA61" s="346"/>
      <c r="AB61" s="346"/>
      <c r="AC61" s="346"/>
    </row>
    <row r="62" spans="1:29" s="347" customFormat="1" ht="12.5" customHeight="1">
      <c r="A62" s="333" t="s">
        <v>157</v>
      </c>
      <c r="B62" s="343">
        <f t="shared" si="36"/>
        <v>8050</v>
      </c>
      <c r="C62" s="343">
        <v>10000</v>
      </c>
      <c r="D62" s="343">
        <v>2</v>
      </c>
      <c r="E62" s="343">
        <f t="shared" si="37"/>
        <v>20000</v>
      </c>
      <c r="F62" s="345">
        <f t="shared" si="38"/>
        <v>4400</v>
      </c>
      <c r="G62" s="346"/>
      <c r="I62" s="346"/>
      <c r="J62" s="346"/>
      <c r="K62" s="346"/>
      <c r="L62" s="346"/>
      <c r="M62" s="346"/>
      <c r="N62" s="346"/>
      <c r="O62" s="346"/>
      <c r="P62" s="346"/>
      <c r="Q62" s="346"/>
      <c r="R62" s="346"/>
      <c r="S62" s="346"/>
      <c r="T62" s="346"/>
      <c r="U62" s="346"/>
      <c r="V62" s="346"/>
      <c r="W62" s="346"/>
      <c r="X62" s="346"/>
      <c r="Y62" s="346"/>
      <c r="Z62" s="346"/>
      <c r="AA62" s="346"/>
      <c r="AB62" s="346"/>
      <c r="AC62" s="346"/>
    </row>
    <row r="63" spans="1:29" s="347" customFormat="1" ht="12.5" customHeight="1">
      <c r="A63" s="333" t="s">
        <v>305</v>
      </c>
      <c r="B63" s="343">
        <f t="shared" si="36"/>
        <v>8050</v>
      </c>
      <c r="C63" s="343">
        <v>10000</v>
      </c>
      <c r="D63" s="343">
        <v>1</v>
      </c>
      <c r="E63" s="343">
        <f t="shared" si="37"/>
        <v>10000</v>
      </c>
      <c r="F63" s="345">
        <f t="shared" si="38"/>
        <v>2200</v>
      </c>
      <c r="G63" s="346"/>
      <c r="I63" s="346"/>
      <c r="J63" s="346"/>
      <c r="K63" s="346"/>
      <c r="L63" s="346"/>
      <c r="M63" s="346"/>
      <c r="N63" s="346"/>
      <c r="O63" s="346"/>
      <c r="P63" s="346"/>
      <c r="Q63" s="346"/>
      <c r="R63" s="346"/>
      <c r="S63" s="346"/>
      <c r="T63" s="346"/>
      <c r="U63" s="346"/>
      <c r="V63" s="346"/>
      <c r="W63" s="346"/>
      <c r="X63" s="346"/>
      <c r="Y63" s="346"/>
      <c r="Z63" s="346"/>
      <c r="AA63" s="346"/>
      <c r="AB63" s="346"/>
      <c r="AC63" s="346"/>
    </row>
    <row r="64" spans="1:29" s="347" customFormat="1">
      <c r="A64" s="333" t="s">
        <v>306</v>
      </c>
      <c r="B64" s="343">
        <f t="shared" si="36"/>
        <v>6440</v>
      </c>
      <c r="C64" s="343">
        <v>8000</v>
      </c>
      <c r="D64" s="343">
        <v>2</v>
      </c>
      <c r="E64" s="343">
        <f t="shared" si="37"/>
        <v>16000</v>
      </c>
      <c r="F64" s="345">
        <f t="shared" si="38"/>
        <v>3520</v>
      </c>
      <c r="G64" s="346"/>
      <c r="I64" s="346"/>
      <c r="J64" s="346"/>
      <c r="K64" s="346"/>
      <c r="L64" s="346"/>
      <c r="M64" s="346"/>
      <c r="N64" s="346"/>
      <c r="O64" s="346"/>
      <c r="P64" s="346"/>
      <c r="Q64" s="346"/>
      <c r="R64" s="346"/>
      <c r="S64" s="346"/>
      <c r="T64" s="346"/>
      <c r="U64" s="346"/>
      <c r="V64" s="346"/>
      <c r="W64" s="346"/>
      <c r="X64" s="346"/>
      <c r="Y64" s="346"/>
      <c r="Z64" s="346"/>
      <c r="AA64" s="346"/>
      <c r="AB64" s="346"/>
      <c r="AC64" s="346"/>
    </row>
    <row r="65" spans="1:59" s="347" customFormat="1">
      <c r="A65" s="333"/>
      <c r="B65" s="343"/>
      <c r="C65" s="344"/>
      <c r="D65" s="343"/>
      <c r="E65" s="343">
        <f>D65*C65</f>
        <v>0</v>
      </c>
      <c r="F65" s="345"/>
      <c r="G65" s="346"/>
      <c r="I65" s="346"/>
      <c r="J65" s="346"/>
      <c r="K65" s="346"/>
      <c r="L65" s="346"/>
      <c r="M65" s="346"/>
      <c r="N65" s="346"/>
      <c r="O65" s="346"/>
      <c r="P65" s="346"/>
      <c r="Q65" s="346"/>
      <c r="R65" s="346"/>
      <c r="S65" s="346"/>
      <c r="T65" s="346"/>
      <c r="U65" s="346"/>
      <c r="V65" s="346"/>
      <c r="W65" s="346"/>
      <c r="X65" s="346"/>
      <c r="Y65" s="346"/>
      <c r="Z65" s="346"/>
      <c r="AA65" s="346"/>
      <c r="AB65" s="346"/>
      <c r="AC65" s="346"/>
    </row>
    <row r="66" spans="1:59" s="347" customFormat="1">
      <c r="A66" s="348" t="s">
        <v>0</v>
      </c>
      <c r="B66" s="349">
        <f>SUM(B58:B64)</f>
        <v>58765</v>
      </c>
      <c r="C66" s="350">
        <f>SUM(C58:C64)</f>
        <v>73000</v>
      </c>
      <c r="D66" s="343">
        <f>SUM(D58:D65)</f>
        <v>11</v>
      </c>
      <c r="E66" s="343">
        <f>SUM(E58:E65)</f>
        <v>111000</v>
      </c>
      <c r="F66" s="368">
        <f>SUM(F58:F64)</f>
        <v>24420</v>
      </c>
      <c r="G66" s="351"/>
      <c r="H66" s="351"/>
      <c r="I66" s="351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346"/>
      <c r="X66" s="346"/>
      <c r="Y66" s="346"/>
      <c r="Z66" s="346"/>
      <c r="AA66" s="346"/>
      <c r="AB66" s="346"/>
      <c r="AC66" s="346"/>
    </row>
    <row r="67" spans="1:59" s="347" customFormat="1">
      <c r="A67" s="345"/>
      <c r="B67" s="345"/>
      <c r="C67" s="345"/>
      <c r="D67" s="345"/>
      <c r="E67" s="345"/>
      <c r="F67" s="345"/>
      <c r="G67" s="346"/>
      <c r="H67" s="346"/>
      <c r="I67" s="346"/>
      <c r="J67" s="346"/>
      <c r="K67" s="346"/>
      <c r="L67" s="346"/>
      <c r="M67" s="346"/>
      <c r="N67" s="346"/>
      <c r="O67" s="346"/>
      <c r="P67" s="346"/>
      <c r="Q67" s="346"/>
      <c r="R67" s="346"/>
      <c r="S67" s="346"/>
      <c r="T67" s="346"/>
      <c r="U67" s="346"/>
      <c r="V67" s="346"/>
      <c r="W67" s="346"/>
      <c r="X67" s="346"/>
      <c r="Y67" s="346"/>
      <c r="Z67" s="346"/>
      <c r="AA67" s="346"/>
    </row>
    <row r="68" spans="1:59" s="347" customFormat="1">
      <c r="A68" s="345"/>
      <c r="B68" s="345"/>
      <c r="C68" s="345"/>
      <c r="D68" s="345"/>
      <c r="E68" s="345"/>
      <c r="F68" s="345"/>
      <c r="G68" s="346"/>
      <c r="H68" s="346"/>
      <c r="I68" s="346"/>
      <c r="J68" s="346"/>
      <c r="K68" s="346"/>
      <c r="L68" s="346"/>
      <c r="M68" s="346"/>
      <c r="N68" s="346"/>
      <c r="O68" s="346"/>
      <c r="P68" s="346"/>
      <c r="Q68" s="346"/>
      <c r="R68" s="346"/>
      <c r="S68" s="346"/>
      <c r="T68" s="346"/>
      <c r="U68" s="346"/>
      <c r="V68" s="346"/>
      <c r="W68" s="346"/>
      <c r="X68" s="346"/>
      <c r="Y68" s="346"/>
      <c r="Z68" s="346"/>
      <c r="AA68" s="346"/>
    </row>
    <row r="69" spans="1:59" s="347" customFormat="1">
      <c r="A69" s="435" t="s">
        <v>245</v>
      </c>
      <c r="B69" s="436"/>
      <c r="C69" s="345"/>
      <c r="D69" s="345"/>
      <c r="E69" s="345"/>
      <c r="F69" s="345"/>
      <c r="G69" s="346"/>
      <c r="H69" s="346"/>
      <c r="I69" s="346"/>
      <c r="J69" s="346"/>
      <c r="K69" s="346"/>
      <c r="L69" s="346"/>
      <c r="M69" s="346"/>
      <c r="N69" s="346"/>
      <c r="O69" s="346"/>
      <c r="P69" s="346"/>
      <c r="Q69" s="346"/>
      <c r="R69" s="346"/>
      <c r="S69" s="346"/>
      <c r="T69" s="346"/>
      <c r="U69" s="346"/>
      <c r="V69" s="346"/>
      <c r="W69" s="346"/>
      <c r="X69" s="346"/>
      <c r="Y69" s="346"/>
      <c r="Z69" s="346"/>
      <c r="AA69" s="346"/>
      <c r="AB69" s="346"/>
      <c r="AC69" s="346"/>
      <c r="AD69" s="346"/>
      <c r="AE69" s="346"/>
      <c r="AF69" s="346"/>
      <c r="AG69" s="346"/>
      <c r="AH69" s="346"/>
      <c r="AI69" s="346"/>
      <c r="AJ69" s="346"/>
      <c r="AK69" s="346"/>
      <c r="AL69" s="346"/>
      <c r="AM69" s="346"/>
      <c r="AN69" s="346"/>
      <c r="AO69" s="346"/>
      <c r="AP69" s="346"/>
      <c r="AQ69" s="346"/>
      <c r="AR69" s="346"/>
      <c r="AS69" s="346"/>
      <c r="AT69" s="346"/>
      <c r="AU69" s="346"/>
      <c r="AV69" s="346"/>
      <c r="AW69" s="346"/>
      <c r="AX69" s="346"/>
      <c r="AY69" s="346"/>
      <c r="AZ69" s="346"/>
      <c r="BA69" s="346"/>
      <c r="BB69" s="346"/>
      <c r="BC69" s="346"/>
      <c r="BD69" s="346"/>
      <c r="BE69" s="346"/>
      <c r="BF69" s="346"/>
      <c r="BG69" s="346"/>
    </row>
    <row r="70" spans="1:59" s="276" customFormat="1">
      <c r="A70" s="359" t="s">
        <v>151</v>
      </c>
      <c r="B70" s="360">
        <v>0.22</v>
      </c>
      <c r="C70" s="361"/>
      <c r="D70" s="361"/>
      <c r="E70" s="361"/>
      <c r="F70" s="361"/>
      <c r="G70" s="362"/>
      <c r="H70" s="362"/>
      <c r="I70" s="362"/>
      <c r="J70" s="362"/>
      <c r="K70" s="362"/>
      <c r="L70" s="362"/>
      <c r="M70" s="362"/>
      <c r="N70" s="362"/>
      <c r="O70" s="362"/>
      <c r="P70" s="362"/>
      <c r="Q70" s="362"/>
      <c r="R70" s="362"/>
      <c r="S70" s="362"/>
      <c r="T70" s="362"/>
      <c r="U70" s="362"/>
      <c r="V70" s="362"/>
      <c r="W70" s="362"/>
      <c r="X70" s="362"/>
      <c r="Y70" s="362"/>
      <c r="Z70" s="362"/>
    </row>
    <row r="71" spans="1:59" s="276" customFormat="1">
      <c r="A71" s="359"/>
      <c r="B71" s="360"/>
      <c r="C71" s="361"/>
      <c r="D71" s="361"/>
      <c r="E71" s="361"/>
      <c r="F71" s="361"/>
      <c r="G71" s="362"/>
      <c r="H71" s="362"/>
      <c r="I71" s="362"/>
      <c r="J71" s="362"/>
      <c r="K71" s="362"/>
      <c r="L71" s="362"/>
      <c r="M71" s="362"/>
      <c r="N71" s="362"/>
      <c r="O71" s="362"/>
      <c r="P71" s="362"/>
      <c r="Q71" s="362"/>
      <c r="R71" s="362"/>
      <c r="S71" s="362"/>
      <c r="T71" s="362"/>
      <c r="U71" s="362"/>
      <c r="V71" s="362"/>
      <c r="W71" s="362"/>
      <c r="X71" s="362"/>
      <c r="Y71" s="362"/>
      <c r="Z71" s="362"/>
    </row>
    <row r="72" spans="1:59" s="347" customFormat="1">
      <c r="A72" s="345"/>
      <c r="B72" s="345"/>
      <c r="C72" s="345"/>
      <c r="D72" s="345"/>
      <c r="E72" s="345"/>
      <c r="F72" s="345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  <c r="V72" s="346"/>
      <c r="W72" s="346"/>
      <c r="X72" s="346"/>
      <c r="Y72" s="346"/>
      <c r="Z72" s="346"/>
      <c r="AA72" s="346"/>
      <c r="AB72" s="346"/>
      <c r="AC72" s="346"/>
    </row>
    <row r="73" spans="1:59" s="347" customFormat="1">
      <c r="A73" s="433" t="s">
        <v>126</v>
      </c>
      <c r="B73" s="434"/>
      <c r="C73" s="345"/>
      <c r="D73" s="345"/>
      <c r="E73" s="345"/>
      <c r="F73" s="345"/>
      <c r="G73" s="346"/>
      <c r="H73" s="346"/>
      <c r="I73" s="346"/>
      <c r="J73" s="346"/>
      <c r="K73" s="346"/>
      <c r="L73" s="346"/>
      <c r="M73" s="346"/>
      <c r="N73" s="346"/>
      <c r="O73" s="346"/>
      <c r="P73" s="346"/>
      <c r="Q73" s="346"/>
      <c r="R73" s="346"/>
      <c r="S73" s="346"/>
      <c r="T73" s="346"/>
      <c r="U73" s="346"/>
      <c r="V73" s="346"/>
      <c r="W73" s="346"/>
      <c r="X73" s="346"/>
      <c r="Y73" s="346"/>
      <c r="Z73" s="346"/>
      <c r="AA73" s="346"/>
      <c r="AB73" s="346"/>
      <c r="AC73" s="346"/>
    </row>
    <row r="74" spans="1:59" s="347" customFormat="1">
      <c r="A74" s="359" t="s">
        <v>128</v>
      </c>
      <c r="B74" s="402">
        <v>200</v>
      </c>
      <c r="C74" s="345"/>
      <c r="D74" s="345"/>
      <c r="E74" s="369"/>
      <c r="F74" s="345"/>
      <c r="G74" s="346"/>
      <c r="H74" s="346"/>
      <c r="I74" s="346"/>
      <c r="J74" s="346"/>
      <c r="K74" s="346"/>
      <c r="L74" s="346"/>
      <c r="M74" s="346"/>
      <c r="N74" s="346"/>
      <c r="O74" s="346"/>
      <c r="P74" s="346"/>
      <c r="Q74" s="346"/>
      <c r="R74" s="346"/>
      <c r="S74" s="346"/>
      <c r="T74" s="346"/>
      <c r="U74" s="346"/>
      <c r="V74" s="346"/>
      <c r="W74" s="346"/>
      <c r="X74" s="346"/>
      <c r="Y74" s="346"/>
      <c r="Z74" s="346"/>
      <c r="AA74" s="346"/>
      <c r="AB74" s="346"/>
      <c r="AC74" s="346"/>
    </row>
    <row r="75" spans="1:59" s="347" customFormat="1">
      <c r="A75" s="359" t="s">
        <v>130</v>
      </c>
      <c r="B75" s="402">
        <v>75</v>
      </c>
      <c r="C75" s="345"/>
      <c r="D75" s="345"/>
      <c r="E75" s="369"/>
      <c r="F75" s="345"/>
      <c r="G75" s="346"/>
      <c r="H75" s="346"/>
      <c r="I75" s="346"/>
      <c r="J75" s="346"/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6"/>
      <c r="V75" s="346"/>
      <c r="W75" s="346"/>
      <c r="X75" s="346"/>
      <c r="Y75" s="346"/>
      <c r="Z75" s="346"/>
      <c r="AA75" s="346"/>
      <c r="AB75" s="346"/>
      <c r="AC75" s="346"/>
    </row>
    <row r="76" spans="1:59" s="347" customFormat="1">
      <c r="A76" s="359"/>
      <c r="B76" s="402"/>
      <c r="C76" s="345"/>
      <c r="D76" s="345"/>
      <c r="E76" s="369"/>
      <c r="F76" s="345"/>
      <c r="G76" s="346"/>
      <c r="H76" s="346"/>
      <c r="I76" s="346"/>
      <c r="J76" s="346"/>
      <c r="K76" s="346"/>
      <c r="L76" s="346"/>
      <c r="M76" s="346"/>
      <c r="N76" s="346"/>
      <c r="O76" s="346"/>
      <c r="P76" s="346"/>
      <c r="Q76" s="346"/>
      <c r="R76" s="346"/>
      <c r="S76" s="346"/>
      <c r="T76" s="346"/>
      <c r="U76" s="346"/>
      <c r="V76" s="346"/>
      <c r="W76" s="346"/>
      <c r="X76" s="346"/>
      <c r="Y76" s="346"/>
      <c r="Z76" s="346"/>
      <c r="AA76" s="346"/>
      <c r="AB76" s="346"/>
      <c r="AC76" s="346"/>
    </row>
    <row r="77" spans="1:59" s="347" customFormat="1">
      <c r="A77" s="359"/>
      <c r="B77" s="402"/>
      <c r="C77" s="345"/>
      <c r="D77" s="345"/>
      <c r="E77" s="369"/>
      <c r="F77" s="345"/>
      <c r="G77" s="346"/>
      <c r="H77" s="346"/>
      <c r="I77" s="346"/>
      <c r="J77" s="346"/>
      <c r="K77" s="346"/>
      <c r="L77" s="346"/>
      <c r="M77" s="346"/>
      <c r="N77" s="346"/>
      <c r="O77" s="346"/>
      <c r="P77" s="346"/>
      <c r="Q77" s="346"/>
      <c r="R77" s="346"/>
      <c r="S77" s="346"/>
      <c r="T77" s="346"/>
      <c r="U77" s="346"/>
      <c r="V77" s="346"/>
      <c r="W77" s="346"/>
      <c r="X77" s="346"/>
      <c r="Y77" s="346"/>
      <c r="Z77" s="346"/>
      <c r="AA77" s="346"/>
      <c r="AB77" s="346"/>
      <c r="AC77" s="346"/>
    </row>
    <row r="78" spans="1:59" s="347" customFormat="1">
      <c r="A78" s="359"/>
      <c r="B78" s="402"/>
      <c r="C78" s="345"/>
      <c r="D78" s="345"/>
      <c r="E78" s="369"/>
      <c r="F78" s="345"/>
      <c r="G78" s="346"/>
      <c r="H78" s="346"/>
      <c r="I78" s="346"/>
      <c r="J78" s="346"/>
      <c r="K78" s="346"/>
      <c r="L78" s="346"/>
      <c r="M78" s="346"/>
      <c r="N78" s="346"/>
      <c r="O78" s="346"/>
      <c r="P78" s="346"/>
      <c r="Q78" s="346"/>
      <c r="R78" s="346"/>
      <c r="S78" s="346"/>
      <c r="T78" s="346"/>
      <c r="U78" s="346"/>
      <c r="V78" s="346"/>
      <c r="W78" s="346"/>
      <c r="X78" s="346"/>
      <c r="Y78" s="346"/>
      <c r="Z78" s="346"/>
      <c r="AA78" s="346"/>
      <c r="AB78" s="346"/>
      <c r="AC78" s="346"/>
    </row>
    <row r="79" spans="1:59" s="347" customFormat="1">
      <c r="A79" s="359"/>
      <c r="B79" s="402"/>
      <c r="C79" s="345"/>
      <c r="D79" s="345"/>
      <c r="E79" s="369"/>
      <c r="F79" s="345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Q79" s="346"/>
      <c r="R79" s="346"/>
      <c r="S79" s="346"/>
      <c r="T79" s="346"/>
      <c r="U79" s="346"/>
      <c r="V79" s="346"/>
      <c r="W79" s="346"/>
      <c r="X79" s="346"/>
      <c r="Y79" s="346"/>
      <c r="Z79" s="346"/>
      <c r="AA79" s="346"/>
      <c r="AB79" s="346"/>
      <c r="AC79" s="346"/>
    </row>
    <row r="80" spans="1:59" s="347" customFormat="1">
      <c r="A80" s="359" t="s">
        <v>131</v>
      </c>
      <c r="B80" s="402">
        <v>1954900</v>
      </c>
      <c r="C80" s="345"/>
      <c r="D80" s="345"/>
      <c r="E80" s="345"/>
      <c r="F80" s="345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Q80" s="346"/>
      <c r="R80" s="346"/>
      <c r="S80" s="346"/>
      <c r="T80" s="346"/>
      <c r="U80" s="346"/>
      <c r="V80" s="346"/>
      <c r="W80" s="346"/>
      <c r="X80" s="346"/>
      <c r="Y80" s="346"/>
      <c r="Z80" s="346"/>
      <c r="AA80" s="346"/>
      <c r="AB80" s="346"/>
      <c r="AC80" s="346"/>
    </row>
    <row r="81" spans="1:29" s="347" customFormat="1">
      <c r="A81" s="358" t="s">
        <v>244</v>
      </c>
      <c r="B81" s="250">
        <v>0.05</v>
      </c>
      <c r="C81" s="345"/>
      <c r="D81" s="345"/>
      <c r="E81" s="345"/>
      <c r="F81" s="345"/>
      <c r="G81" s="346"/>
      <c r="H81" s="346"/>
      <c r="I81" s="346"/>
      <c r="J81" s="346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  <c r="Y81" s="346"/>
      <c r="Z81" s="346"/>
      <c r="AA81" s="346"/>
      <c r="AB81" s="346"/>
      <c r="AC81" s="346"/>
    </row>
    <row r="82" spans="1:29">
      <c r="A82" s="31"/>
      <c r="B82" s="31"/>
      <c r="C82" s="31"/>
      <c r="D82" s="31"/>
      <c r="E82" s="31"/>
      <c r="F82" s="31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>
      <c r="A83" s="16"/>
      <c r="B83" s="16"/>
      <c r="C83" s="16"/>
      <c r="D83" s="16"/>
      <c r="E83" s="16"/>
      <c r="F83" s="16"/>
      <c r="G83" s="16"/>
      <c r="H83" s="16"/>
      <c r="I83" s="15"/>
      <c r="J83" s="15"/>
      <c r="K83" s="15"/>
      <c r="L83" s="15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>
      <c r="A84" s="16"/>
      <c r="B84" s="16"/>
      <c r="C84" s="16"/>
      <c r="D84" s="16"/>
      <c r="E84" s="16"/>
      <c r="F84" s="16"/>
      <c r="G84" s="16"/>
      <c r="H84" s="16"/>
      <c r="I84" s="15"/>
      <c r="J84" s="15"/>
      <c r="K84" s="15"/>
      <c r="L84" s="15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18">
      <c r="A85" s="32" t="s">
        <v>35</v>
      </c>
      <c r="B85" s="32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ht="10.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>
      <c r="A87" s="33" t="s">
        <v>4</v>
      </c>
      <c r="B87" s="35" t="s">
        <v>0</v>
      </c>
      <c r="C87" s="34" t="s">
        <v>154</v>
      </c>
      <c r="D87" s="34" t="s">
        <v>155</v>
      </c>
      <c r="E87" s="34" t="s">
        <v>156</v>
      </c>
      <c r="F87" s="34" t="s">
        <v>326</v>
      </c>
      <c r="G87" s="34" t="s">
        <v>327</v>
      </c>
      <c r="I87" s="15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9">
      <c r="A88" s="107" t="str">
        <f>A4</f>
        <v>Змінні витрати</v>
      </c>
      <c r="B88" s="406">
        <f>SUM(C88:G88)</f>
        <v>34492959.050378032</v>
      </c>
      <c r="C88" s="406">
        <f>SUM(C4:N4)</f>
        <v>6494140.2455869513</v>
      </c>
      <c r="D88" s="406">
        <f>SUM(O4:Z4)</f>
        <v>6689390.128585699</v>
      </c>
      <c r="E88" s="406">
        <f>SUM(AA4:AL4)</f>
        <v>6892124.3475484755</v>
      </c>
      <c r="F88" s="406">
        <f>SUM(AM4:AX4)</f>
        <v>7101024.9217801131</v>
      </c>
      <c r="G88" s="406">
        <f>SUM(AY4:BJ4)</f>
        <v>7316279.4068767894</v>
      </c>
      <c r="I88" s="15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9">
      <c r="A89" s="404" t="str">
        <f t="shared" ref="A89:A110" si="39">A5</f>
        <v>Витрати на онлайн екскурсії</v>
      </c>
      <c r="B89" s="111">
        <f t="shared" ref="B89:B91" si="40">SUM(C89:G89)</f>
        <v>6220741.7456520582</v>
      </c>
      <c r="C89" s="111">
        <f t="shared" ref="C89:C110" si="41">SUM(C5:N5)</f>
        <v>1170731.2265780922</v>
      </c>
      <c r="D89" s="111">
        <f t="shared" ref="D89:D110" si="42">SUM(O5:Z5)</f>
        <v>1206340.137122988</v>
      </c>
      <c r="E89" s="111">
        <f t="shared" ref="E89:E110" si="43">SUM(AA5:AL5)</f>
        <v>1243032.1267567545</v>
      </c>
      <c r="F89" s="111">
        <f t="shared" ref="F89:F110" si="44">SUM(AM5:AX5)</f>
        <v>1280840.1383662925</v>
      </c>
      <c r="G89" s="111">
        <f t="shared" ref="G89:G110" si="45">SUM(AY5:BJ5)</f>
        <v>1319798.1168279313</v>
      </c>
      <c r="I89" s="15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9">
      <c r="A90" s="404" t="str">
        <f t="shared" si="39"/>
        <v>Канцтовари</v>
      </c>
      <c r="B90" s="111">
        <f t="shared" si="40"/>
        <v>121500</v>
      </c>
      <c r="C90" s="111">
        <f t="shared" si="41"/>
        <v>25500</v>
      </c>
      <c r="D90" s="111">
        <f t="shared" si="42"/>
        <v>24000</v>
      </c>
      <c r="E90" s="111">
        <f t="shared" si="43"/>
        <v>24000</v>
      </c>
      <c r="F90" s="111">
        <f t="shared" si="44"/>
        <v>24000</v>
      </c>
      <c r="G90" s="111">
        <f t="shared" si="45"/>
        <v>24000</v>
      </c>
      <c r="I90" s="15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9">
      <c r="A91" s="404" t="str">
        <f t="shared" si="39"/>
        <v>Виробництво сувенірної продукції</v>
      </c>
      <c r="B91" s="111">
        <f t="shared" si="40"/>
        <v>27448890.030857533</v>
      </c>
      <c r="C91" s="111">
        <f t="shared" si="41"/>
        <v>5165826.5216513323</v>
      </c>
      <c r="D91" s="111">
        <f t="shared" si="42"/>
        <v>5322950.0785565274</v>
      </c>
      <c r="E91" s="111">
        <f t="shared" si="43"/>
        <v>5484852.698798649</v>
      </c>
      <c r="F91" s="111">
        <f t="shared" si="44"/>
        <v>5651679.7421622407</v>
      </c>
      <c r="G91" s="111">
        <f t="shared" si="45"/>
        <v>5823580.9896887848</v>
      </c>
      <c r="I91" s="15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9">
      <c r="A92" s="404" t="str">
        <f t="shared" si="39"/>
        <v>Витрати на тематичні вечірки</v>
      </c>
      <c r="B92" s="111">
        <f>SUM(C92:G92)</f>
        <v>701827.27386843739</v>
      </c>
      <c r="C92" s="111">
        <f t="shared" si="41"/>
        <v>132082.49735752834</v>
      </c>
      <c r="D92" s="111">
        <f t="shared" si="42"/>
        <v>136099.91290618322</v>
      </c>
      <c r="E92" s="111">
        <f t="shared" si="43"/>
        <v>140239.52199306976</v>
      </c>
      <c r="F92" s="111">
        <f t="shared" si="44"/>
        <v>144505.04125158169</v>
      </c>
      <c r="G92" s="111">
        <f t="shared" si="45"/>
        <v>148900.3003600743</v>
      </c>
      <c r="I92" s="15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9">
      <c r="A93" s="107" t="str">
        <f t="shared" si="39"/>
        <v>Постійні витрати</v>
      </c>
      <c r="B93" s="405">
        <f>SUM(C93:G93)</f>
        <v>17408801.934568804</v>
      </c>
      <c r="C93" s="405">
        <f t="shared" si="41"/>
        <v>3340297.7999999993</v>
      </c>
      <c r="D93" s="405">
        <f t="shared" si="42"/>
        <v>3360029.4000000008</v>
      </c>
      <c r="E93" s="405">
        <f t="shared" si="43"/>
        <v>3464941.0320000011</v>
      </c>
      <c r="F93" s="406">
        <f t="shared" si="44"/>
        <v>3567991.1853600009</v>
      </c>
      <c r="G93" s="406">
        <f t="shared" si="45"/>
        <v>3675542.5172088016</v>
      </c>
      <c r="I93" s="15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9">
      <c r="A94" s="404" t="str">
        <f t="shared" si="39"/>
        <v>Оплата праці</v>
      </c>
      <c r="B94" s="111">
        <f t="shared" ref="B94:B103" si="46">SUM(C94:G94)</f>
        <v>7073086.5</v>
      </c>
      <c r="C94" s="111">
        <f t="shared" si="41"/>
        <v>1332000</v>
      </c>
      <c r="D94" s="111">
        <f t="shared" si="42"/>
        <v>1332000</v>
      </c>
      <c r="E94" s="111">
        <f t="shared" si="43"/>
        <v>1398600</v>
      </c>
      <c r="F94" s="111">
        <f t="shared" si="44"/>
        <v>1468530</v>
      </c>
      <c r="G94" s="111">
        <f t="shared" si="45"/>
        <v>1541956.5</v>
      </c>
    </row>
    <row r="95" spans="1:29" s="276" customFormat="1">
      <c r="A95" s="404" t="str">
        <f t="shared" si="39"/>
        <v>ЄСВ</v>
      </c>
      <c r="B95" s="111">
        <f t="shared" si="46"/>
        <v>1556079.03</v>
      </c>
      <c r="C95" s="111">
        <f t="shared" si="41"/>
        <v>293040</v>
      </c>
      <c r="D95" s="111">
        <f t="shared" si="42"/>
        <v>293040</v>
      </c>
      <c r="E95" s="111">
        <f t="shared" si="43"/>
        <v>307692</v>
      </c>
      <c r="F95" s="111">
        <f t="shared" si="44"/>
        <v>323076.59999999992</v>
      </c>
      <c r="G95" s="111">
        <f t="shared" si="45"/>
        <v>339230.43000000011</v>
      </c>
    </row>
    <row r="96" spans="1:29">
      <c r="A96" s="404" t="str">
        <f t="shared" si="39"/>
        <v>Оплата бухгалтера на аутсорсі</v>
      </c>
      <c r="B96" s="111">
        <f t="shared" si="46"/>
        <v>480000</v>
      </c>
      <c r="C96" s="111">
        <f t="shared" si="41"/>
        <v>84000</v>
      </c>
      <c r="D96" s="111">
        <f t="shared" si="42"/>
        <v>90000</v>
      </c>
      <c r="E96" s="111">
        <f t="shared" si="43"/>
        <v>96000</v>
      </c>
      <c r="F96" s="111">
        <f t="shared" si="44"/>
        <v>102000</v>
      </c>
      <c r="G96" s="111">
        <f t="shared" si="45"/>
        <v>108000</v>
      </c>
    </row>
    <row r="97" spans="1:7">
      <c r="A97" s="404" t="str">
        <f t="shared" si="39"/>
        <v>Адміністративні витрати</v>
      </c>
      <c r="B97" s="111">
        <f t="shared" si="46"/>
        <v>480000</v>
      </c>
      <c r="C97" s="111">
        <f t="shared" si="41"/>
        <v>96000</v>
      </c>
      <c r="D97" s="111">
        <f t="shared" si="42"/>
        <v>96000</v>
      </c>
      <c r="E97" s="111">
        <f t="shared" si="43"/>
        <v>96000</v>
      </c>
      <c r="F97" s="111">
        <f t="shared" si="44"/>
        <v>96000</v>
      </c>
      <c r="G97" s="111">
        <f t="shared" si="45"/>
        <v>96000</v>
      </c>
    </row>
    <row r="98" spans="1:7">
      <c r="A98" s="404" t="str">
        <f t="shared" si="39"/>
        <v xml:space="preserve">   Оренда</v>
      </c>
      <c r="B98" s="111">
        <f t="shared" si="46"/>
        <v>3613980</v>
      </c>
      <c r="C98" s="111">
        <f t="shared" si="41"/>
        <v>722796</v>
      </c>
      <c r="D98" s="111">
        <f t="shared" si="42"/>
        <v>722796</v>
      </c>
      <c r="E98" s="111">
        <f t="shared" si="43"/>
        <v>722796</v>
      </c>
      <c r="F98" s="111">
        <f t="shared" si="44"/>
        <v>722796</v>
      </c>
      <c r="G98" s="111">
        <f t="shared" si="45"/>
        <v>722796</v>
      </c>
    </row>
    <row r="99" spans="1:7">
      <c r="A99" s="404" t="str">
        <f t="shared" si="39"/>
        <v>Непередбачувані витрати</v>
      </c>
      <c r="B99" s="111">
        <f t="shared" si="46"/>
        <v>828990.56831280002</v>
      </c>
      <c r="C99" s="111">
        <f t="shared" si="41"/>
        <v>159061.79999999996</v>
      </c>
      <c r="D99" s="111">
        <f t="shared" si="42"/>
        <v>160001.40000000002</v>
      </c>
      <c r="E99" s="111">
        <f t="shared" si="43"/>
        <v>164997.19200000001</v>
      </c>
      <c r="F99" s="111">
        <f t="shared" si="44"/>
        <v>169904.34216</v>
      </c>
      <c r="G99" s="111">
        <f t="shared" si="45"/>
        <v>175025.83415280003</v>
      </c>
    </row>
    <row r="100" spans="1:7">
      <c r="A100" s="404" t="str">
        <f t="shared" si="39"/>
        <v>Оплата за водопостачання</v>
      </c>
      <c r="B100" s="111">
        <f t="shared" si="46"/>
        <v>75993.113375999994</v>
      </c>
      <c r="C100" s="111">
        <f t="shared" si="41"/>
        <v>14400</v>
      </c>
      <c r="D100" s="111">
        <f t="shared" si="42"/>
        <v>14832</v>
      </c>
      <c r="E100" s="111">
        <f t="shared" si="43"/>
        <v>15128.639999999998</v>
      </c>
      <c r="F100" s="111">
        <f t="shared" si="44"/>
        <v>15582.499200000004</v>
      </c>
      <c r="G100" s="111">
        <f t="shared" si="45"/>
        <v>16049.974175999996</v>
      </c>
    </row>
    <row r="101" spans="1:7">
      <c r="A101" s="404" t="str">
        <f t="shared" si="39"/>
        <v>Оплата за електроенергію</v>
      </c>
      <c r="B101" s="111">
        <f t="shared" si="46"/>
        <v>93672.722880000001</v>
      </c>
      <c r="C101" s="111">
        <f t="shared" si="41"/>
        <v>18000</v>
      </c>
      <c r="D101" s="111">
        <f t="shared" si="42"/>
        <v>18360</v>
      </c>
      <c r="E101" s="111">
        <f t="shared" si="43"/>
        <v>18727.2</v>
      </c>
      <c r="F101" s="111">
        <f t="shared" si="44"/>
        <v>19101.744000000002</v>
      </c>
      <c r="G101" s="111">
        <f t="shared" si="45"/>
        <v>19483.778880000002</v>
      </c>
    </row>
    <row r="102" spans="1:7">
      <c r="A102" s="404" t="str">
        <f t="shared" si="39"/>
        <v>Поліграфія</v>
      </c>
      <c r="B102" s="111">
        <f t="shared" si="46"/>
        <v>30000</v>
      </c>
      <c r="C102" s="111">
        <f t="shared" si="41"/>
        <v>6000</v>
      </c>
      <c r="D102" s="111">
        <f t="shared" si="42"/>
        <v>6000</v>
      </c>
      <c r="E102" s="111">
        <f t="shared" si="43"/>
        <v>6000</v>
      </c>
      <c r="F102" s="111">
        <f t="shared" si="44"/>
        <v>6000</v>
      </c>
      <c r="G102" s="111">
        <f t="shared" si="45"/>
        <v>6000</v>
      </c>
    </row>
    <row r="103" spans="1:7">
      <c r="A103" s="404" t="str">
        <f t="shared" si="39"/>
        <v>Реклама в пошуку Google</v>
      </c>
      <c r="B103" s="111">
        <f t="shared" si="46"/>
        <v>330000</v>
      </c>
      <c r="C103" s="111">
        <f t="shared" si="41"/>
        <v>66000</v>
      </c>
      <c r="D103" s="111">
        <f t="shared" si="42"/>
        <v>66000</v>
      </c>
      <c r="E103" s="111">
        <f t="shared" si="43"/>
        <v>66000</v>
      </c>
      <c r="F103" s="111">
        <f t="shared" si="44"/>
        <v>66000</v>
      </c>
      <c r="G103" s="111">
        <f t="shared" si="45"/>
        <v>66000</v>
      </c>
    </row>
    <row r="104" spans="1:7">
      <c r="A104" s="404" t="str">
        <f t="shared" si="39"/>
        <v>Оплата за користування доменом</v>
      </c>
      <c r="B104" s="111">
        <f>SUM(C104:G104)</f>
        <v>300000</v>
      </c>
      <c r="C104" s="111">
        <f t="shared" si="41"/>
        <v>60000</v>
      </c>
      <c r="D104" s="111">
        <f t="shared" si="42"/>
        <v>60000</v>
      </c>
      <c r="E104" s="111">
        <f t="shared" si="43"/>
        <v>60000</v>
      </c>
      <c r="F104" s="111">
        <f t="shared" si="44"/>
        <v>60000</v>
      </c>
      <c r="G104" s="111">
        <f t="shared" si="45"/>
        <v>60000</v>
      </c>
    </row>
    <row r="105" spans="1:7">
      <c r="A105" s="404" t="str">
        <f t="shared" si="39"/>
        <v>Витрати на реставрацію та підтримку колекції</v>
      </c>
      <c r="B105" s="111">
        <f>SUM(C105:G105)</f>
        <v>702000</v>
      </c>
      <c r="C105" s="111">
        <f t="shared" si="41"/>
        <v>120000</v>
      </c>
      <c r="D105" s="111">
        <f t="shared" si="42"/>
        <v>132000</v>
      </c>
      <c r="E105" s="111">
        <f t="shared" si="43"/>
        <v>144000</v>
      </c>
      <c r="F105" s="111">
        <f t="shared" si="44"/>
        <v>150000</v>
      </c>
      <c r="G105" s="111">
        <f t="shared" si="45"/>
        <v>156000</v>
      </c>
    </row>
    <row r="106" spans="1:7">
      <c r="A106" s="404" t="str">
        <f t="shared" si="39"/>
        <v>Витрати на послуги зв'язку та охорони</v>
      </c>
      <c r="B106" s="111">
        <f>SUM(C106:G106)</f>
        <v>51000</v>
      </c>
      <c r="C106" s="111">
        <f t="shared" si="41"/>
        <v>10200</v>
      </c>
      <c r="D106" s="111">
        <f t="shared" si="42"/>
        <v>10200</v>
      </c>
      <c r="E106" s="111">
        <f t="shared" si="43"/>
        <v>10200</v>
      </c>
      <c r="F106" s="111">
        <f t="shared" si="44"/>
        <v>10200</v>
      </c>
      <c r="G106" s="111">
        <f t="shared" si="45"/>
        <v>10200</v>
      </c>
    </row>
    <row r="107" spans="1:7">
      <c r="A107" s="404" t="str">
        <f t="shared" si="39"/>
        <v>Страхові внески</v>
      </c>
      <c r="B107" s="111">
        <f>SUM(C107:G107)</f>
        <v>1680000</v>
      </c>
      <c r="C107" s="111">
        <f t="shared" si="41"/>
        <v>336000</v>
      </c>
      <c r="D107" s="111">
        <f t="shared" si="42"/>
        <v>336000</v>
      </c>
      <c r="E107" s="111">
        <f t="shared" si="43"/>
        <v>336000</v>
      </c>
      <c r="F107" s="111">
        <f t="shared" si="44"/>
        <v>336000</v>
      </c>
      <c r="G107" s="111">
        <f t="shared" si="45"/>
        <v>336000</v>
      </c>
    </row>
    <row r="108" spans="1:7">
      <c r="A108" s="404" t="str">
        <f t="shared" si="39"/>
        <v>Послуги еквайрингу</v>
      </c>
      <c r="B108" s="111">
        <f t="shared" ref="B108:B109" si="47">SUM(C108:G108)</f>
        <v>24000</v>
      </c>
      <c r="C108" s="111">
        <f t="shared" si="41"/>
        <v>4800</v>
      </c>
      <c r="D108" s="111">
        <f t="shared" si="42"/>
        <v>4800</v>
      </c>
      <c r="E108" s="111">
        <f t="shared" si="43"/>
        <v>4800</v>
      </c>
      <c r="F108" s="111">
        <f t="shared" si="44"/>
        <v>4800</v>
      </c>
      <c r="G108" s="111">
        <f t="shared" si="45"/>
        <v>4800</v>
      </c>
    </row>
    <row r="109" spans="1:7">
      <c r="A109" s="404" t="str">
        <f t="shared" si="39"/>
        <v>Побутова хімія та інвентрар для прибирання</v>
      </c>
      <c r="B109" s="111">
        <f t="shared" si="47"/>
        <v>90000</v>
      </c>
      <c r="C109" s="111">
        <f t="shared" si="41"/>
        <v>18000</v>
      </c>
      <c r="D109" s="111">
        <f t="shared" si="42"/>
        <v>18000</v>
      </c>
      <c r="E109" s="111">
        <f t="shared" si="43"/>
        <v>18000</v>
      </c>
      <c r="F109" s="111">
        <f t="shared" si="44"/>
        <v>18000</v>
      </c>
      <c r="G109" s="111">
        <f t="shared" si="45"/>
        <v>18000</v>
      </c>
    </row>
    <row r="110" spans="1:7">
      <c r="A110" s="107" t="str">
        <f t="shared" si="39"/>
        <v>Амортизація</v>
      </c>
      <c r="B110" s="406">
        <f>SUM(C110:G110)</f>
        <v>553036.5</v>
      </c>
      <c r="C110" s="406">
        <f t="shared" si="41"/>
        <v>103108.5</v>
      </c>
      <c r="D110" s="406">
        <f t="shared" si="42"/>
        <v>112482</v>
      </c>
      <c r="E110" s="406">
        <f t="shared" si="43"/>
        <v>112482</v>
      </c>
      <c r="F110" s="406">
        <f t="shared" si="44"/>
        <v>112482</v>
      </c>
      <c r="G110" s="406">
        <f t="shared" si="45"/>
        <v>112482</v>
      </c>
    </row>
    <row r="111" spans="1:7">
      <c r="A111" s="33" t="str">
        <f>A27</f>
        <v>Итого</v>
      </c>
      <c r="B111" s="111">
        <f>SUM(C111:G111)</f>
        <v>51901760.984946832</v>
      </c>
      <c r="C111" s="111">
        <f>SUM(C27:N27)</f>
        <v>9834438.0455869492</v>
      </c>
      <c r="D111" s="111">
        <f>SUM(O27:Z27)</f>
        <v>10049419.528585698</v>
      </c>
      <c r="E111" s="111">
        <f t="shared" ref="E111:E112" si="48">SUM(AA27:AL27)</f>
        <v>10357065.379548475</v>
      </c>
      <c r="F111" s="111">
        <f>SUM(AM27:AX27)</f>
        <v>10669016.107140115</v>
      </c>
      <c r="G111" s="111">
        <f>SUM(AY27:BJ27)</f>
        <v>10991821.924085591</v>
      </c>
    </row>
    <row r="112" spans="1:7">
      <c r="A112" s="33" t="str">
        <f>A28</f>
        <v>Итого с учетом амортизации</v>
      </c>
      <c r="B112" s="111">
        <f>SUM(C112:G112)</f>
        <v>52454797.484946832</v>
      </c>
      <c r="C112" s="111">
        <f>SUM(C28:N28)</f>
        <v>9937546.5455869492</v>
      </c>
      <c r="D112" s="111">
        <f>SUM(O28:Z28)</f>
        <v>10161901.528585698</v>
      </c>
      <c r="E112" s="111">
        <f t="shared" si="48"/>
        <v>10469547.379548475</v>
      </c>
      <c r="F112" s="111">
        <f>SUM(AM28:AX28)</f>
        <v>10781498.107140115</v>
      </c>
      <c r="G112" s="111">
        <f>SUM(AY28:BJ28)</f>
        <v>11104303.924085591</v>
      </c>
    </row>
    <row r="113" spans="1:29">
      <c r="A113" s="16"/>
      <c r="B113" s="16"/>
      <c r="C113" s="16"/>
      <c r="D113" s="16"/>
      <c r="E113" s="16"/>
      <c r="F113" s="16"/>
      <c r="G113" s="16"/>
    </row>
    <row r="114" spans="1:29">
      <c r="A114" s="16"/>
      <c r="B114" s="16"/>
      <c r="C114" s="16"/>
      <c r="D114" s="16"/>
      <c r="E114" s="16"/>
      <c r="F114" s="16"/>
      <c r="G114" s="16"/>
    </row>
    <row r="115" spans="1:29">
      <c r="A115" s="33" t="s">
        <v>48</v>
      </c>
      <c r="B115" s="34" t="s">
        <v>144</v>
      </c>
      <c r="C115" s="34" t="s">
        <v>12</v>
      </c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9">
      <c r="A116" s="36" t="str">
        <f>A124</f>
        <v>Змінні витрати</v>
      </c>
      <c r="B116" s="100">
        <f>B124</f>
        <v>34492959.050378032</v>
      </c>
      <c r="C116" s="278">
        <f>C124</f>
        <v>0.6575749160079517</v>
      </c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>
      <c r="A117" s="36" t="str">
        <f>A133</f>
        <v>Адміністративні витрати</v>
      </c>
      <c r="B117" s="100">
        <f>B133</f>
        <v>480000</v>
      </c>
      <c r="C117" s="278">
        <f>C133</f>
        <v>9.1507359291158746E-3</v>
      </c>
    </row>
    <row r="118" spans="1:29">
      <c r="A118" s="36" t="str">
        <f>A143</f>
        <v>Страхові внески</v>
      </c>
      <c r="B118" s="100">
        <f>B143</f>
        <v>1680000</v>
      </c>
      <c r="C118" s="278">
        <f>C143</f>
        <v>3.2027575751905561E-2</v>
      </c>
    </row>
    <row r="123" spans="1:29">
      <c r="A123" s="33" t="s">
        <v>48</v>
      </c>
      <c r="B123" s="34" t="s">
        <v>144</v>
      </c>
      <c r="C123" s="34" t="s">
        <v>12</v>
      </c>
    </row>
    <row r="124" spans="1:29">
      <c r="A124" s="107" t="str">
        <f>A88</f>
        <v>Змінні витрати</v>
      </c>
      <c r="B124" s="100">
        <f>B88</f>
        <v>34492959.050378032</v>
      </c>
      <c r="C124" s="278">
        <f>B124/$B$148</f>
        <v>0.6575749160079517</v>
      </c>
    </row>
    <row r="125" spans="1:29">
      <c r="A125" s="107" t="str">
        <f t="shared" ref="A125:B146" si="49">A89</f>
        <v>Витрати на онлайн екскурсії</v>
      </c>
      <c r="B125" s="100">
        <f t="shared" si="49"/>
        <v>6220741.7456520582</v>
      </c>
      <c r="C125" s="278">
        <f t="shared" ref="C125:C146" si="50">B125/$B$148</f>
        <v>0.11859242707851936</v>
      </c>
    </row>
    <row r="126" spans="1:29">
      <c r="A126" s="107" t="str">
        <f t="shared" si="49"/>
        <v>Канцтовари</v>
      </c>
      <c r="B126" s="100">
        <f t="shared" si="49"/>
        <v>121500</v>
      </c>
      <c r="C126" s="278">
        <f t="shared" si="50"/>
        <v>2.3162800320574556E-3</v>
      </c>
    </row>
    <row r="127" spans="1:29">
      <c r="A127" s="107" t="str">
        <f t="shared" si="49"/>
        <v>Виробництво сувенірної продукції</v>
      </c>
      <c r="B127" s="100">
        <f t="shared" si="49"/>
        <v>27448890.030857533</v>
      </c>
      <c r="C127" s="278">
        <f t="shared" si="50"/>
        <v>0.52328655045774708</v>
      </c>
    </row>
    <row r="128" spans="1:29">
      <c r="A128" s="107" t="str">
        <f t="shared" si="49"/>
        <v>Витрати на тематичні вечірки</v>
      </c>
      <c r="B128" s="100">
        <f t="shared" si="49"/>
        <v>701827.27386843739</v>
      </c>
      <c r="C128" s="278">
        <f t="shared" si="50"/>
        <v>1.3379658439627826E-2</v>
      </c>
    </row>
    <row r="129" spans="1:3">
      <c r="A129" s="107" t="str">
        <f t="shared" si="49"/>
        <v>Постійні витрати</v>
      </c>
      <c r="B129" s="100">
        <f t="shared" si="49"/>
        <v>17408801.934568804</v>
      </c>
      <c r="C129" s="278">
        <f t="shared" si="50"/>
        <v>0.33188197780316814</v>
      </c>
    </row>
    <row r="130" spans="1:3">
      <c r="A130" s="107" t="str">
        <f t="shared" si="49"/>
        <v>Оплата праці</v>
      </c>
      <c r="B130" s="100">
        <f t="shared" si="49"/>
        <v>7073086.5</v>
      </c>
      <c r="C130" s="278">
        <f t="shared" si="50"/>
        <v>0.1348415557610301</v>
      </c>
    </row>
    <row r="131" spans="1:3">
      <c r="A131" s="107" t="str">
        <f t="shared" si="49"/>
        <v>ЄСВ</v>
      </c>
      <c r="B131" s="100">
        <f t="shared" si="49"/>
        <v>1556079.03</v>
      </c>
      <c r="C131" s="278">
        <f t="shared" si="50"/>
        <v>2.9665142267426624E-2</v>
      </c>
    </row>
    <row r="132" spans="1:3">
      <c r="A132" s="107" t="str">
        <f t="shared" si="49"/>
        <v>Оплата бухгалтера на аутсорсі</v>
      </c>
      <c r="B132" s="100">
        <f t="shared" si="49"/>
        <v>480000</v>
      </c>
      <c r="C132" s="278">
        <f t="shared" si="50"/>
        <v>9.1507359291158746E-3</v>
      </c>
    </row>
    <row r="133" spans="1:3">
      <c r="A133" s="107" t="str">
        <f t="shared" si="49"/>
        <v>Адміністративні витрати</v>
      </c>
      <c r="B133" s="100">
        <f t="shared" si="49"/>
        <v>480000</v>
      </c>
      <c r="C133" s="278">
        <f t="shared" si="50"/>
        <v>9.1507359291158746E-3</v>
      </c>
    </row>
    <row r="134" spans="1:3">
      <c r="A134" s="107" t="str">
        <f t="shared" si="49"/>
        <v xml:space="preserve">   Оренда</v>
      </c>
      <c r="B134" s="100">
        <f t="shared" si="49"/>
        <v>3613980</v>
      </c>
      <c r="C134" s="278">
        <f t="shared" si="50"/>
        <v>6.8897034652304567E-2</v>
      </c>
    </row>
    <row r="135" spans="1:3">
      <c r="A135" s="107" t="str">
        <f t="shared" si="49"/>
        <v>Непередбачувані витрати</v>
      </c>
      <c r="B135" s="100">
        <f t="shared" si="49"/>
        <v>828990.56831280002</v>
      </c>
      <c r="C135" s="278">
        <f t="shared" si="50"/>
        <v>1.5803903704912765E-2</v>
      </c>
    </row>
    <row r="136" spans="1:3">
      <c r="A136" s="107" t="str">
        <f t="shared" si="49"/>
        <v>Оплата за водопостачання</v>
      </c>
      <c r="B136" s="100">
        <f t="shared" si="49"/>
        <v>75993.113375999994</v>
      </c>
      <c r="C136" s="278">
        <f t="shared" si="50"/>
        <v>1.4487352352815402E-3</v>
      </c>
    </row>
    <row r="137" spans="1:3">
      <c r="A137" s="107" t="str">
        <f t="shared" si="49"/>
        <v>Оплата за електроенергію</v>
      </c>
      <c r="B137" s="100">
        <f t="shared" si="49"/>
        <v>93672.722880000001</v>
      </c>
      <c r="C137" s="278">
        <f t="shared" si="50"/>
        <v>1.7857798975752723E-3</v>
      </c>
    </row>
    <row r="138" spans="1:3">
      <c r="A138" s="107" t="str">
        <f t="shared" si="49"/>
        <v>Поліграфія</v>
      </c>
      <c r="B138" s="100">
        <f t="shared" si="49"/>
        <v>30000</v>
      </c>
      <c r="C138" s="278">
        <f t="shared" si="50"/>
        <v>5.7192099556974216E-4</v>
      </c>
    </row>
    <row r="139" spans="1:3">
      <c r="A139" s="107" t="str">
        <f t="shared" si="49"/>
        <v>Реклама в пошуку Google</v>
      </c>
      <c r="B139" s="100">
        <f t="shared" si="49"/>
        <v>330000</v>
      </c>
      <c r="C139" s="278">
        <f t="shared" si="50"/>
        <v>6.2911309512671638E-3</v>
      </c>
    </row>
    <row r="140" spans="1:3">
      <c r="A140" s="107" t="str">
        <f t="shared" si="49"/>
        <v>Оплата за користування доменом</v>
      </c>
      <c r="B140" s="100">
        <f t="shared" si="49"/>
        <v>300000</v>
      </c>
      <c r="C140" s="278">
        <f t="shared" si="50"/>
        <v>5.7192099556974216E-3</v>
      </c>
    </row>
    <row r="141" spans="1:3">
      <c r="A141" s="107" t="str">
        <f t="shared" si="49"/>
        <v>Витрати на реставрацію та підтримку колекції</v>
      </c>
      <c r="B141" s="100">
        <f t="shared" si="49"/>
        <v>702000</v>
      </c>
      <c r="C141" s="278">
        <f t="shared" si="50"/>
        <v>1.3382951296331966E-2</v>
      </c>
    </row>
    <row r="142" spans="1:3">
      <c r="A142" s="107" t="str">
        <f t="shared" si="49"/>
        <v>Витрати на послуги зв'язку та охорони</v>
      </c>
      <c r="B142" s="100">
        <f t="shared" si="49"/>
        <v>51000</v>
      </c>
      <c r="C142" s="278">
        <f t="shared" si="50"/>
        <v>9.722656924685617E-4</v>
      </c>
    </row>
    <row r="143" spans="1:3">
      <c r="A143" s="107" t="str">
        <f t="shared" si="49"/>
        <v>Страхові внески</v>
      </c>
      <c r="B143" s="100">
        <f t="shared" si="49"/>
        <v>1680000</v>
      </c>
      <c r="C143" s="278">
        <f t="shared" si="50"/>
        <v>3.2027575751905561E-2</v>
      </c>
    </row>
    <row r="144" spans="1:3">
      <c r="A144" s="107" t="str">
        <f t="shared" si="49"/>
        <v>Послуги еквайрингу</v>
      </c>
      <c r="B144" s="100">
        <f t="shared" si="49"/>
        <v>24000</v>
      </c>
      <c r="C144" s="278">
        <f t="shared" si="50"/>
        <v>4.5753679645579376E-4</v>
      </c>
    </row>
    <row r="145" spans="1:3">
      <c r="A145" s="107" t="str">
        <f t="shared" si="49"/>
        <v>Побутова хімія та інвентрар для прибирання</v>
      </c>
      <c r="B145" s="100">
        <f t="shared" si="49"/>
        <v>90000</v>
      </c>
      <c r="C145" s="278">
        <f t="shared" si="50"/>
        <v>1.7157629867092265E-3</v>
      </c>
    </row>
    <row r="146" spans="1:3">
      <c r="A146" s="107" t="str">
        <f t="shared" si="49"/>
        <v>Амортизація</v>
      </c>
      <c r="B146" s="100">
        <f t="shared" si="49"/>
        <v>553036.5</v>
      </c>
      <c r="C146" s="278">
        <f t="shared" si="50"/>
        <v>1.0543106188880191E-2</v>
      </c>
    </row>
    <row r="147" spans="1:3">
      <c r="A147" s="33" t="str">
        <f t="shared" ref="A147:B148" si="51">A111</f>
        <v>Итого</v>
      </c>
      <c r="B147" s="100">
        <f t="shared" si="51"/>
        <v>51901760.984946832</v>
      </c>
      <c r="C147" s="278">
        <f>B147/$B$148</f>
        <v>0.98945689381111979</v>
      </c>
    </row>
    <row r="148" spans="1:3">
      <c r="A148" s="33" t="str">
        <f t="shared" si="51"/>
        <v>Итого с учетом амортизации</v>
      </c>
      <c r="B148" s="100">
        <f t="shared" si="51"/>
        <v>52454797.484946832</v>
      </c>
      <c r="C148" s="278">
        <f>B148/$B$148</f>
        <v>1</v>
      </c>
    </row>
    <row r="150" spans="1:3">
      <c r="A150" s="266" t="s">
        <v>75</v>
      </c>
    </row>
    <row r="151" spans="1:3">
      <c r="B151" s="181"/>
    </row>
    <row r="152" spans="1:3">
      <c r="B152" s="181"/>
    </row>
    <row r="153" spans="1:3">
      <c r="B153" s="14"/>
    </row>
    <row r="154" spans="1:3">
      <c r="B154" s="14"/>
    </row>
    <row r="155" spans="1:3">
      <c r="B155" s="14"/>
    </row>
    <row r="156" spans="1:3">
      <c r="B156" s="14"/>
    </row>
    <row r="157" spans="1:3">
      <c r="B157" s="14"/>
    </row>
    <row r="158" spans="1:3">
      <c r="B158" s="181"/>
    </row>
    <row r="159" spans="1:3">
      <c r="B159" s="14"/>
    </row>
    <row r="160" spans="1:3">
      <c r="B160" s="14"/>
    </row>
  </sheetData>
  <mergeCells count="9">
    <mergeCell ref="A73:B73"/>
    <mergeCell ref="A69:B69"/>
    <mergeCell ref="A33:B33"/>
    <mergeCell ref="A56:E56"/>
    <mergeCell ref="AY2:BJ2"/>
    <mergeCell ref="C2:N2"/>
    <mergeCell ref="O2:Z2"/>
    <mergeCell ref="AA2:AL2"/>
    <mergeCell ref="AM2:AX2"/>
  </mergeCells>
  <phoneticPr fontId="4" type="noConversion"/>
  <conditionalFormatting sqref="C65 B4:BJ4 B89:E92 B124:C148 B94:E109 B111:G112 B6:BJ28">
    <cfRule type="containsBlanks" dxfId="107" priority="16">
      <formula>LEN(TRIM(B4))=0</formula>
    </cfRule>
  </conditionalFormatting>
  <conditionalFormatting sqref="B116:C118">
    <cfRule type="containsBlanks" dxfId="106" priority="12">
      <formula>LEN(TRIM(B116))=0</formula>
    </cfRule>
  </conditionalFormatting>
  <conditionalFormatting sqref="A10:A12">
    <cfRule type="containsBlanks" dxfId="105" priority="7">
      <formula>LEN(TRIM(A10))=0</formula>
    </cfRule>
  </conditionalFormatting>
  <conditionalFormatting sqref="B5:F5 H5:L5 N5:R5 T5:X5 Z5:AD5 AF5:AJ5 AL5:AP5 AR5:AV5 AX5:BB5 BD5:BH5 BJ5">
    <cfRule type="containsBlanks" dxfId="104" priority="6">
      <formula>LEN(TRIM(B5))=0</formula>
    </cfRule>
  </conditionalFormatting>
  <conditionalFormatting sqref="A89:A92">
    <cfRule type="containsBlanks" dxfId="103" priority="5">
      <formula>LEN(TRIM(A89))=0</formula>
    </cfRule>
  </conditionalFormatting>
  <conditionalFormatting sqref="A94:A109">
    <cfRule type="containsBlanks" dxfId="102" priority="4">
      <formula>LEN(TRIM(A94))=0</formula>
    </cfRule>
  </conditionalFormatting>
  <conditionalFormatting sqref="F89:G92">
    <cfRule type="containsBlanks" dxfId="101" priority="3">
      <formula>LEN(TRIM(F89))=0</formula>
    </cfRule>
  </conditionalFormatting>
  <conditionalFormatting sqref="F95:G109">
    <cfRule type="containsBlanks" dxfId="100" priority="2">
      <formula>LEN(TRIM(F95))=0</formula>
    </cfRule>
  </conditionalFormatting>
  <conditionalFormatting sqref="F94:G94">
    <cfRule type="containsBlanks" dxfId="99" priority="1">
      <formula>LEN(TRIM(F94))=0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R177"/>
  <sheetViews>
    <sheetView tabSelected="1" topLeftCell="A4" zoomScaleNormal="100" workbookViewId="0">
      <pane xSplit="1" topLeftCell="B1" activePane="topRight" state="frozen"/>
      <selection activeCell="A13" sqref="A13"/>
      <selection pane="topRight" activeCell="A26" sqref="A26:C34"/>
    </sheetView>
  </sheetViews>
  <sheetFormatPr baseColWidth="10" defaultColWidth="8.6640625" defaultRowHeight="13"/>
  <cols>
    <col min="1" max="1" width="73.6640625" customWidth="1"/>
    <col min="2" max="2" width="19.5" customWidth="1"/>
    <col min="3" max="3" width="16.5" bestFit="1" customWidth="1"/>
    <col min="4" max="4" width="17.5" customWidth="1"/>
    <col min="5" max="5" width="30.6640625" bestFit="1" customWidth="1"/>
    <col min="6" max="6" width="13.5" bestFit="1" customWidth="1"/>
    <col min="7" max="7" width="14.5" bestFit="1" customWidth="1"/>
    <col min="8" max="8" width="13.5" customWidth="1"/>
    <col min="9" max="9" width="13.6640625" customWidth="1"/>
    <col min="10" max="10" width="14" customWidth="1"/>
    <col min="11" max="11" width="13.5" customWidth="1"/>
    <col min="12" max="13" width="13.6640625" customWidth="1"/>
    <col min="14" max="14" width="14.33203125" customWidth="1"/>
    <col min="15" max="15" width="14.5" customWidth="1"/>
    <col min="16" max="16" width="13.6640625" customWidth="1"/>
    <col min="17" max="17" width="14" customWidth="1"/>
    <col min="18" max="18" width="14.5" customWidth="1"/>
    <col min="19" max="19" width="14" customWidth="1"/>
    <col min="20" max="58" width="13.5" bestFit="1" customWidth="1"/>
    <col min="59" max="62" width="14.5" bestFit="1" customWidth="1"/>
    <col min="63" max="63" width="8.6640625" customWidth="1"/>
  </cols>
  <sheetData>
    <row r="1" spans="1:70" ht="23">
      <c r="A1" s="44" t="s">
        <v>5</v>
      </c>
      <c r="B1" s="102" t="s">
        <v>143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2" customHeight="1">
      <c r="A3" s="15"/>
      <c r="B3" s="15"/>
      <c r="C3" s="430" t="s">
        <v>30</v>
      </c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1" t="s">
        <v>31</v>
      </c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2" t="s">
        <v>32</v>
      </c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44"/>
      <c r="AN3" s="444"/>
      <c r="AO3" s="444"/>
      <c r="AP3" s="444"/>
      <c r="AQ3" s="444"/>
      <c r="AR3" s="444"/>
      <c r="AS3" s="444"/>
      <c r="AT3" s="444"/>
      <c r="AU3" s="444"/>
      <c r="AV3" s="444"/>
      <c r="AW3" s="444"/>
      <c r="AX3" s="444"/>
      <c r="AY3" s="443"/>
      <c r="AZ3" s="443"/>
      <c r="BA3" s="443"/>
      <c r="BB3" s="443"/>
      <c r="BC3" s="443"/>
      <c r="BD3" s="443"/>
      <c r="BE3" s="443"/>
      <c r="BF3" s="443"/>
      <c r="BG3" s="443"/>
      <c r="BH3" s="443"/>
      <c r="BI3" s="443"/>
      <c r="BJ3" s="443"/>
      <c r="BK3" s="15"/>
      <c r="BL3" s="15"/>
      <c r="BM3" s="15"/>
      <c r="BN3" s="15"/>
      <c r="BO3" s="15"/>
      <c r="BP3" s="15"/>
      <c r="BQ3" s="15"/>
      <c r="BR3" s="15"/>
    </row>
    <row r="4" spans="1:70">
      <c r="A4" s="45" t="s">
        <v>6</v>
      </c>
      <c r="B4" s="46" t="s">
        <v>0</v>
      </c>
      <c r="C4" s="46">
        <f>Доходи!C4</f>
        <v>44562</v>
      </c>
      <c r="D4" s="46">
        <f>Доходи!D4</f>
        <v>44593</v>
      </c>
      <c r="E4" s="46">
        <f>Доходи!E4</f>
        <v>44621</v>
      </c>
      <c r="F4" s="46">
        <f>Доходи!F4</f>
        <v>44652</v>
      </c>
      <c r="G4" s="46">
        <f>Доходи!G4</f>
        <v>44682</v>
      </c>
      <c r="H4" s="46">
        <f>Доходи!H4</f>
        <v>44713</v>
      </c>
      <c r="I4" s="46">
        <f>Доходи!I4</f>
        <v>44743</v>
      </c>
      <c r="J4" s="46">
        <f>Доходи!J4</f>
        <v>44774</v>
      </c>
      <c r="K4" s="46">
        <f>Доходи!K4</f>
        <v>44805</v>
      </c>
      <c r="L4" s="46">
        <f>Доходи!L4</f>
        <v>44835</v>
      </c>
      <c r="M4" s="46">
        <f>Доходи!M4</f>
        <v>44866</v>
      </c>
      <c r="N4" s="46">
        <f>Доходи!N4</f>
        <v>44896</v>
      </c>
      <c r="O4" s="46">
        <f>Доходи!O4</f>
        <v>44927</v>
      </c>
      <c r="P4" s="46">
        <f>Доходи!P4</f>
        <v>44958</v>
      </c>
      <c r="Q4" s="46">
        <f>Доходи!Q4</f>
        <v>44986</v>
      </c>
      <c r="R4" s="46">
        <f>Доходи!R4</f>
        <v>45017</v>
      </c>
      <c r="S4" s="46">
        <f>Доходи!S4</f>
        <v>45047</v>
      </c>
      <c r="T4" s="46">
        <f>Доходи!T4</f>
        <v>45078</v>
      </c>
      <c r="U4" s="46">
        <f>Доходи!U4</f>
        <v>45108</v>
      </c>
      <c r="V4" s="46">
        <f>Доходи!V4</f>
        <v>45139</v>
      </c>
      <c r="W4" s="46">
        <f>Доходи!W4</f>
        <v>45170</v>
      </c>
      <c r="X4" s="46">
        <f>Доходи!X4</f>
        <v>45200</v>
      </c>
      <c r="Y4" s="46">
        <f>Доходи!Y4</f>
        <v>45231</v>
      </c>
      <c r="Z4" s="46">
        <f>Доходи!Z4</f>
        <v>45261</v>
      </c>
      <c r="AA4" s="46">
        <f>Доходи!AA4</f>
        <v>45292</v>
      </c>
      <c r="AB4" s="46">
        <f>Доходи!AB4</f>
        <v>45323</v>
      </c>
      <c r="AC4" s="46">
        <f>Доходи!AC4</f>
        <v>45352</v>
      </c>
      <c r="AD4" s="46">
        <f>Доходи!AD4</f>
        <v>45383</v>
      </c>
      <c r="AE4" s="46">
        <f>Доходи!AE4</f>
        <v>45413</v>
      </c>
      <c r="AF4" s="46">
        <f>Доходи!AF4</f>
        <v>45444</v>
      </c>
      <c r="AG4" s="46">
        <f>Доходи!AG4</f>
        <v>45474</v>
      </c>
      <c r="AH4" s="46">
        <f>Доходи!AH4</f>
        <v>45505</v>
      </c>
      <c r="AI4" s="46">
        <f>Доходи!AI4</f>
        <v>45536</v>
      </c>
      <c r="AJ4" s="46">
        <f>Доходи!AJ4</f>
        <v>45566</v>
      </c>
      <c r="AK4" s="46">
        <f>Доходи!AK4</f>
        <v>45597</v>
      </c>
      <c r="AL4" s="46">
        <f>Доходи!AL4</f>
        <v>45627</v>
      </c>
      <c r="AM4" s="46">
        <f>Доходи!AM4</f>
        <v>45658</v>
      </c>
      <c r="AN4" s="46">
        <f>Доходи!AN4</f>
        <v>45689</v>
      </c>
      <c r="AO4" s="46">
        <f>Доходи!AO4</f>
        <v>45717</v>
      </c>
      <c r="AP4" s="46">
        <f>Доходи!AP4</f>
        <v>45748</v>
      </c>
      <c r="AQ4" s="46">
        <f>Доходи!AQ4</f>
        <v>45778</v>
      </c>
      <c r="AR4" s="46">
        <f>Доходи!AR4</f>
        <v>45809</v>
      </c>
      <c r="AS4" s="46">
        <f>Доходи!AS4</f>
        <v>45839</v>
      </c>
      <c r="AT4" s="46">
        <f>Доходи!AT4</f>
        <v>45870</v>
      </c>
      <c r="AU4" s="46">
        <f>Доходи!AU4</f>
        <v>45901</v>
      </c>
      <c r="AV4" s="46">
        <f>Доходи!AV4</f>
        <v>45931</v>
      </c>
      <c r="AW4" s="46">
        <f>Доходи!AW4</f>
        <v>45962</v>
      </c>
      <c r="AX4" s="46">
        <f>Доходи!AX4</f>
        <v>45992</v>
      </c>
      <c r="AY4" s="46">
        <f>Доходи!AY4</f>
        <v>46023</v>
      </c>
      <c r="AZ4" s="46">
        <f>Доходи!AZ4</f>
        <v>46054</v>
      </c>
      <c r="BA4" s="46">
        <f>Доходи!BA4</f>
        <v>46082</v>
      </c>
      <c r="BB4" s="46">
        <f>Доходи!BB4</f>
        <v>46113</v>
      </c>
      <c r="BC4" s="46">
        <f>Доходи!BC4</f>
        <v>46143</v>
      </c>
      <c r="BD4" s="46">
        <f>Доходи!BD4</f>
        <v>46174</v>
      </c>
      <c r="BE4" s="46">
        <f>Доходи!BE4</f>
        <v>46204</v>
      </c>
      <c r="BF4" s="46">
        <f>Доходи!BF4</f>
        <v>46235</v>
      </c>
      <c r="BG4" s="46">
        <f>Доходи!BG4</f>
        <v>46266</v>
      </c>
      <c r="BH4" s="46">
        <f>Доходи!BH4</f>
        <v>46296</v>
      </c>
      <c r="BI4" s="46">
        <f>Доходи!BI4</f>
        <v>46327</v>
      </c>
      <c r="BJ4" s="46">
        <f>Доходи!BJ4</f>
        <v>46357</v>
      </c>
      <c r="BK4" s="15"/>
      <c r="BL4" s="15"/>
      <c r="BM4" s="15"/>
      <c r="BN4" s="15"/>
      <c r="BO4" s="15"/>
      <c r="BP4" s="15"/>
      <c r="BQ4" s="15"/>
      <c r="BR4" s="15"/>
    </row>
    <row r="5" spans="1:70" s="332" customFormat="1">
      <c r="A5" s="217" t="str">
        <f t="shared" ref="A5:A10" si="0">A29</f>
        <v>Обробка і ремонт приміщення</v>
      </c>
      <c r="B5" s="377">
        <f t="shared" ref="B5:B11" si="1">SUM(C5:BJ5)</f>
        <v>250000</v>
      </c>
      <c r="C5" s="377">
        <f>C29</f>
        <v>250000</v>
      </c>
      <c r="D5" s="377">
        <f t="shared" ref="D5:M5" si="2">$G$29/11</f>
        <v>0</v>
      </c>
      <c r="E5" s="377">
        <f t="shared" si="2"/>
        <v>0</v>
      </c>
      <c r="F5" s="377">
        <f t="shared" si="2"/>
        <v>0</v>
      </c>
      <c r="G5" s="377">
        <f t="shared" si="2"/>
        <v>0</v>
      </c>
      <c r="H5" s="377">
        <f t="shared" si="2"/>
        <v>0</v>
      </c>
      <c r="I5" s="330">
        <f t="shared" si="2"/>
        <v>0</v>
      </c>
      <c r="J5" s="330">
        <f t="shared" si="2"/>
        <v>0</v>
      </c>
      <c r="K5" s="330">
        <f t="shared" si="2"/>
        <v>0</v>
      </c>
      <c r="L5" s="330">
        <f t="shared" si="2"/>
        <v>0</v>
      </c>
      <c r="M5" s="330">
        <f t="shared" si="2"/>
        <v>0</v>
      </c>
      <c r="N5" s="330">
        <v>0</v>
      </c>
      <c r="O5" s="330">
        <v>0</v>
      </c>
      <c r="P5" s="330">
        <v>0</v>
      </c>
      <c r="Q5" s="330">
        <v>0</v>
      </c>
      <c r="R5" s="330">
        <v>0</v>
      </c>
      <c r="S5" s="330">
        <v>0</v>
      </c>
      <c r="T5" s="330">
        <v>0</v>
      </c>
      <c r="U5" s="330">
        <v>0</v>
      </c>
      <c r="V5" s="330">
        <v>0</v>
      </c>
      <c r="W5" s="330">
        <v>0</v>
      </c>
      <c r="X5" s="330">
        <v>0</v>
      </c>
      <c r="Y5" s="330">
        <v>0</v>
      </c>
      <c r="Z5" s="330">
        <v>0</v>
      </c>
      <c r="AA5" s="330">
        <v>0</v>
      </c>
      <c r="AB5" s="330">
        <v>0</v>
      </c>
      <c r="AC5" s="330">
        <v>0</v>
      </c>
      <c r="AD5" s="330">
        <v>0</v>
      </c>
      <c r="AE5" s="330">
        <v>0</v>
      </c>
      <c r="AF5" s="330">
        <v>0</v>
      </c>
      <c r="AG5" s="330">
        <v>0</v>
      </c>
      <c r="AH5" s="330">
        <v>0</v>
      </c>
      <c r="AI5" s="330">
        <v>0</v>
      </c>
      <c r="AJ5" s="330">
        <v>0</v>
      </c>
      <c r="AK5" s="330">
        <v>0</v>
      </c>
      <c r="AL5" s="330">
        <v>0</v>
      </c>
      <c r="AM5" s="330">
        <v>0</v>
      </c>
      <c r="AN5" s="330">
        <v>0</v>
      </c>
      <c r="AO5" s="330">
        <v>0</v>
      </c>
      <c r="AP5" s="330">
        <v>0</v>
      </c>
      <c r="AQ5" s="330">
        <v>0</v>
      </c>
      <c r="AR5" s="330">
        <v>0</v>
      </c>
      <c r="AS5" s="330">
        <v>0</v>
      </c>
      <c r="AT5" s="330">
        <v>0</v>
      </c>
      <c r="AU5" s="330">
        <v>0</v>
      </c>
      <c r="AV5" s="330">
        <v>0</v>
      </c>
      <c r="AW5" s="330">
        <v>0</v>
      </c>
      <c r="AX5" s="330">
        <v>0</v>
      </c>
      <c r="AY5" s="330">
        <v>0</v>
      </c>
      <c r="AZ5" s="330">
        <v>0</v>
      </c>
      <c r="BA5" s="330">
        <v>0</v>
      </c>
      <c r="BB5" s="330">
        <v>0</v>
      </c>
      <c r="BC5" s="330">
        <v>0</v>
      </c>
      <c r="BD5" s="330">
        <v>0</v>
      </c>
      <c r="BE5" s="330">
        <v>0</v>
      </c>
      <c r="BF5" s="330">
        <v>0</v>
      </c>
      <c r="BG5" s="330">
        <v>0</v>
      </c>
      <c r="BH5" s="330">
        <v>0</v>
      </c>
      <c r="BI5" s="330">
        <v>0</v>
      </c>
      <c r="BJ5" s="330">
        <v>0</v>
      </c>
      <c r="BK5" s="331"/>
      <c r="BL5" s="331"/>
      <c r="BM5" s="331"/>
      <c r="BN5" s="331"/>
      <c r="BO5" s="331"/>
      <c r="BP5" s="331"/>
      <c r="BQ5" s="331"/>
      <c r="BR5" s="331"/>
    </row>
    <row r="6" spans="1:70">
      <c r="A6" s="217" t="str">
        <f t="shared" si="0"/>
        <v>Закупівля музейних експонатів та установочні роботи</v>
      </c>
      <c r="B6" s="377">
        <f t="shared" si="1"/>
        <v>562410</v>
      </c>
      <c r="C6" s="100">
        <f>C30</f>
        <v>562410</v>
      </c>
      <c r="D6" s="100">
        <v>0</v>
      </c>
      <c r="E6" s="100">
        <v>0</v>
      </c>
      <c r="F6" s="100">
        <v>0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0">
        <f>$G$30/2</f>
        <v>0</v>
      </c>
      <c r="M6" s="100">
        <f>$G$30/2</f>
        <v>0</v>
      </c>
      <c r="N6" s="100">
        <v>0</v>
      </c>
      <c r="O6" s="100">
        <v>0</v>
      </c>
      <c r="P6" s="100">
        <v>0</v>
      </c>
      <c r="Q6" s="100">
        <v>0</v>
      </c>
      <c r="R6" s="100">
        <v>0</v>
      </c>
      <c r="S6" s="100">
        <v>0</v>
      </c>
      <c r="T6" s="100">
        <v>0</v>
      </c>
      <c r="U6" s="100">
        <v>0</v>
      </c>
      <c r="V6" s="100">
        <v>0</v>
      </c>
      <c r="W6" s="100">
        <v>0</v>
      </c>
      <c r="X6" s="100">
        <v>0</v>
      </c>
      <c r="Y6" s="100">
        <v>0</v>
      </c>
      <c r="Z6" s="100">
        <v>0</v>
      </c>
      <c r="AA6" s="100">
        <v>0</v>
      </c>
      <c r="AB6" s="100">
        <v>0</v>
      </c>
      <c r="AC6" s="100">
        <v>0</v>
      </c>
      <c r="AD6" s="100">
        <v>0</v>
      </c>
      <c r="AE6" s="100">
        <v>0</v>
      </c>
      <c r="AF6" s="100">
        <v>0</v>
      </c>
      <c r="AG6" s="100">
        <v>0</v>
      </c>
      <c r="AH6" s="100">
        <v>0</v>
      </c>
      <c r="AI6" s="100">
        <v>0</v>
      </c>
      <c r="AJ6" s="100">
        <v>0</v>
      </c>
      <c r="AK6" s="100">
        <v>0</v>
      </c>
      <c r="AL6" s="100">
        <v>0</v>
      </c>
      <c r="AM6" s="100">
        <v>0</v>
      </c>
      <c r="AN6" s="100">
        <v>0</v>
      </c>
      <c r="AO6" s="100">
        <v>0</v>
      </c>
      <c r="AP6" s="100">
        <v>0</v>
      </c>
      <c r="AQ6" s="100">
        <v>0</v>
      </c>
      <c r="AR6" s="100">
        <v>0</v>
      </c>
      <c r="AS6" s="100">
        <v>0</v>
      </c>
      <c r="AT6" s="100">
        <v>0</v>
      </c>
      <c r="AU6" s="100">
        <v>0</v>
      </c>
      <c r="AV6" s="100">
        <v>0</v>
      </c>
      <c r="AW6" s="100">
        <v>0</v>
      </c>
      <c r="AX6" s="100">
        <v>0</v>
      </c>
      <c r="AY6" s="100">
        <v>0</v>
      </c>
      <c r="AZ6" s="100">
        <v>0</v>
      </c>
      <c r="BA6" s="100">
        <v>0</v>
      </c>
      <c r="BB6" s="100">
        <v>0</v>
      </c>
      <c r="BC6" s="100">
        <v>0</v>
      </c>
      <c r="BD6" s="100">
        <v>0</v>
      </c>
      <c r="BE6" s="100">
        <v>0</v>
      </c>
      <c r="BF6" s="100">
        <v>0</v>
      </c>
      <c r="BG6" s="100">
        <v>0</v>
      </c>
      <c r="BH6" s="100">
        <v>0</v>
      </c>
      <c r="BI6" s="100">
        <v>0</v>
      </c>
      <c r="BJ6" s="100">
        <v>0</v>
      </c>
      <c r="BK6" s="15"/>
      <c r="BL6" s="15"/>
      <c r="BM6" s="15"/>
      <c r="BN6" s="15"/>
      <c r="BO6" s="15"/>
      <c r="BP6" s="15"/>
      <c r="BQ6" s="15"/>
      <c r="BR6" s="15"/>
    </row>
    <row r="7" spans="1:70">
      <c r="A7" s="217" t="str">
        <f t="shared" si="0"/>
        <v>Початковий маркетинг та позиціонування підприємства</v>
      </c>
      <c r="B7" s="377">
        <f t="shared" si="1"/>
        <v>51362.000000000007</v>
      </c>
      <c r="C7" s="100">
        <f>$C$31/6</f>
        <v>8560.3333333333339</v>
      </c>
      <c r="D7" s="100">
        <f t="shared" ref="D7:H7" si="3">$C$31/6</f>
        <v>8560.3333333333339</v>
      </c>
      <c r="E7" s="100">
        <f t="shared" si="3"/>
        <v>8560.3333333333339</v>
      </c>
      <c r="F7" s="100">
        <f t="shared" si="3"/>
        <v>8560.3333333333339</v>
      </c>
      <c r="G7" s="100">
        <f t="shared" si="3"/>
        <v>8560.3333333333339</v>
      </c>
      <c r="H7" s="100">
        <f t="shared" si="3"/>
        <v>8560.3333333333339</v>
      </c>
      <c r="I7" s="100">
        <v>0</v>
      </c>
      <c r="J7" s="100">
        <v>0</v>
      </c>
      <c r="K7" s="100">
        <v>0</v>
      </c>
      <c r="L7" s="100">
        <v>0</v>
      </c>
      <c r="M7" s="100">
        <v>0</v>
      </c>
      <c r="N7" s="100">
        <v>0</v>
      </c>
      <c r="O7" s="100">
        <v>0</v>
      </c>
      <c r="P7" s="100">
        <v>0</v>
      </c>
      <c r="Q7" s="100">
        <v>0</v>
      </c>
      <c r="R7" s="100">
        <v>0</v>
      </c>
      <c r="S7" s="100">
        <v>0</v>
      </c>
      <c r="T7" s="100">
        <v>0</v>
      </c>
      <c r="U7" s="100">
        <v>0</v>
      </c>
      <c r="V7" s="100">
        <v>0</v>
      </c>
      <c r="W7" s="100">
        <v>0</v>
      </c>
      <c r="X7" s="100">
        <v>0</v>
      </c>
      <c r="Y7" s="100">
        <v>0</v>
      </c>
      <c r="Z7" s="100">
        <v>0</v>
      </c>
      <c r="AA7" s="100">
        <v>0</v>
      </c>
      <c r="AB7" s="100">
        <v>0</v>
      </c>
      <c r="AC7" s="100">
        <v>0</v>
      </c>
      <c r="AD7" s="100">
        <v>0</v>
      </c>
      <c r="AE7" s="100">
        <v>0</v>
      </c>
      <c r="AF7" s="100">
        <v>0</v>
      </c>
      <c r="AG7" s="100">
        <v>0</v>
      </c>
      <c r="AH7" s="100">
        <v>0</v>
      </c>
      <c r="AI7" s="100">
        <v>0</v>
      </c>
      <c r="AJ7" s="100">
        <v>0</v>
      </c>
      <c r="AK7" s="100">
        <v>0</v>
      </c>
      <c r="AL7" s="100">
        <v>0</v>
      </c>
      <c r="AM7" s="100">
        <v>0</v>
      </c>
      <c r="AN7" s="100">
        <v>0</v>
      </c>
      <c r="AO7" s="100">
        <v>0</v>
      </c>
      <c r="AP7" s="100">
        <v>0</v>
      </c>
      <c r="AQ7" s="100">
        <v>0</v>
      </c>
      <c r="AR7" s="100">
        <v>0</v>
      </c>
      <c r="AS7" s="100">
        <v>0</v>
      </c>
      <c r="AT7" s="100">
        <v>0</v>
      </c>
      <c r="AU7" s="100">
        <v>0</v>
      </c>
      <c r="AV7" s="100">
        <v>0</v>
      </c>
      <c r="AW7" s="100">
        <v>0</v>
      </c>
      <c r="AX7" s="100">
        <v>0</v>
      </c>
      <c r="AY7" s="100">
        <v>0</v>
      </c>
      <c r="AZ7" s="100">
        <v>0</v>
      </c>
      <c r="BA7" s="100">
        <v>0</v>
      </c>
      <c r="BB7" s="100">
        <v>0</v>
      </c>
      <c r="BC7" s="100">
        <v>0</v>
      </c>
      <c r="BD7" s="100">
        <v>0</v>
      </c>
      <c r="BE7" s="100">
        <v>0</v>
      </c>
      <c r="BF7" s="100">
        <v>0</v>
      </c>
      <c r="BG7" s="100">
        <v>0</v>
      </c>
      <c r="BH7" s="100">
        <v>0</v>
      </c>
      <c r="BI7" s="100">
        <v>0</v>
      </c>
      <c r="BJ7" s="100">
        <v>0</v>
      </c>
      <c r="BK7" s="15"/>
      <c r="BL7" s="15"/>
      <c r="BM7" s="15"/>
      <c r="BN7" s="15"/>
      <c r="BO7" s="15"/>
      <c r="BP7" s="15"/>
      <c r="BQ7" s="15"/>
      <c r="BR7" s="15"/>
    </row>
    <row r="8" spans="1:70">
      <c r="A8" s="217" t="str">
        <f t="shared" si="0"/>
        <v>Реєстрація підприємства</v>
      </c>
      <c r="B8" s="377">
        <f t="shared" si="1"/>
        <v>4500</v>
      </c>
      <c r="C8" s="100">
        <f>C32</f>
        <v>4500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0</v>
      </c>
      <c r="K8" s="100">
        <v>0</v>
      </c>
      <c r="L8" s="100">
        <v>0</v>
      </c>
      <c r="M8" s="100">
        <v>0</v>
      </c>
      <c r="N8" s="100">
        <v>0</v>
      </c>
      <c r="O8" s="100">
        <v>0</v>
      </c>
      <c r="P8" s="100">
        <v>0</v>
      </c>
      <c r="Q8" s="100">
        <v>0</v>
      </c>
      <c r="R8" s="100">
        <v>0</v>
      </c>
      <c r="S8" s="100">
        <v>0</v>
      </c>
      <c r="T8" s="100">
        <v>0</v>
      </c>
      <c r="U8" s="100">
        <v>0</v>
      </c>
      <c r="V8" s="100">
        <v>0</v>
      </c>
      <c r="W8" s="100">
        <v>0</v>
      </c>
      <c r="X8" s="100">
        <v>0</v>
      </c>
      <c r="Y8" s="100">
        <v>0</v>
      </c>
      <c r="Z8" s="100">
        <v>0</v>
      </c>
      <c r="AA8" s="100">
        <v>0</v>
      </c>
      <c r="AB8" s="100">
        <v>0</v>
      </c>
      <c r="AC8" s="100">
        <v>0</v>
      </c>
      <c r="AD8" s="100">
        <v>0</v>
      </c>
      <c r="AE8" s="100">
        <v>0</v>
      </c>
      <c r="AF8" s="100">
        <v>0</v>
      </c>
      <c r="AG8" s="100">
        <v>0</v>
      </c>
      <c r="AH8" s="100">
        <v>0</v>
      </c>
      <c r="AI8" s="100">
        <v>0</v>
      </c>
      <c r="AJ8" s="100">
        <v>0</v>
      </c>
      <c r="AK8" s="100">
        <v>0</v>
      </c>
      <c r="AL8" s="100">
        <v>0</v>
      </c>
      <c r="AM8" s="100">
        <v>0</v>
      </c>
      <c r="AN8" s="100">
        <v>0</v>
      </c>
      <c r="AO8" s="100">
        <v>0</v>
      </c>
      <c r="AP8" s="100">
        <v>0</v>
      </c>
      <c r="AQ8" s="100">
        <v>0</v>
      </c>
      <c r="AR8" s="100">
        <v>0</v>
      </c>
      <c r="AS8" s="100">
        <v>0</v>
      </c>
      <c r="AT8" s="100">
        <v>0</v>
      </c>
      <c r="AU8" s="100">
        <v>0</v>
      </c>
      <c r="AV8" s="100">
        <v>0</v>
      </c>
      <c r="AW8" s="100">
        <v>0</v>
      </c>
      <c r="AX8" s="100">
        <v>0</v>
      </c>
      <c r="AY8" s="100">
        <v>0</v>
      </c>
      <c r="AZ8" s="100">
        <v>0</v>
      </c>
      <c r="BA8" s="100">
        <v>0</v>
      </c>
      <c r="BB8" s="100">
        <v>0</v>
      </c>
      <c r="BC8" s="100">
        <v>0</v>
      </c>
      <c r="BD8" s="100">
        <v>0</v>
      </c>
      <c r="BE8" s="100">
        <v>0</v>
      </c>
      <c r="BF8" s="100">
        <v>0</v>
      </c>
      <c r="BG8" s="100">
        <v>0</v>
      </c>
      <c r="BH8" s="100">
        <v>0</v>
      </c>
      <c r="BI8" s="100">
        <v>0</v>
      </c>
      <c r="BJ8" s="100">
        <v>0</v>
      </c>
      <c r="BK8" s="15"/>
      <c r="BL8" s="15"/>
      <c r="BM8" s="15"/>
      <c r="BN8" s="15"/>
      <c r="BO8" s="15"/>
      <c r="BP8" s="15"/>
      <c r="BQ8" s="15"/>
      <c r="BR8" s="15"/>
    </row>
    <row r="9" spans="1:70">
      <c r="A9" s="217" t="str">
        <f t="shared" si="0"/>
        <v>Інвентар для музею</v>
      </c>
      <c r="B9" s="377">
        <f t="shared" si="1"/>
        <v>551896</v>
      </c>
      <c r="C9" s="100">
        <f>C33</f>
        <v>551896</v>
      </c>
      <c r="D9" s="100">
        <v>0</v>
      </c>
      <c r="E9" s="100">
        <f>$D$9</f>
        <v>0</v>
      </c>
      <c r="F9" s="100">
        <f t="shared" ref="F9:BJ9" si="4">$D$9</f>
        <v>0</v>
      </c>
      <c r="G9" s="100">
        <f t="shared" si="4"/>
        <v>0</v>
      </c>
      <c r="H9" s="100">
        <f t="shared" si="4"/>
        <v>0</v>
      </c>
      <c r="I9" s="100">
        <f t="shared" si="4"/>
        <v>0</v>
      </c>
      <c r="J9" s="100">
        <f t="shared" si="4"/>
        <v>0</v>
      </c>
      <c r="K9" s="100">
        <f t="shared" si="4"/>
        <v>0</v>
      </c>
      <c r="L9" s="100">
        <f t="shared" si="4"/>
        <v>0</v>
      </c>
      <c r="M9" s="100">
        <f t="shared" si="4"/>
        <v>0</v>
      </c>
      <c r="N9" s="100">
        <f t="shared" si="4"/>
        <v>0</v>
      </c>
      <c r="O9" s="100">
        <f t="shared" si="4"/>
        <v>0</v>
      </c>
      <c r="P9" s="100">
        <f t="shared" si="4"/>
        <v>0</v>
      </c>
      <c r="Q9" s="100">
        <f t="shared" si="4"/>
        <v>0</v>
      </c>
      <c r="R9" s="100">
        <f t="shared" si="4"/>
        <v>0</v>
      </c>
      <c r="S9" s="100">
        <f t="shared" si="4"/>
        <v>0</v>
      </c>
      <c r="T9" s="100">
        <f t="shared" si="4"/>
        <v>0</v>
      </c>
      <c r="U9" s="100">
        <f t="shared" si="4"/>
        <v>0</v>
      </c>
      <c r="V9" s="100">
        <f t="shared" si="4"/>
        <v>0</v>
      </c>
      <c r="W9" s="100">
        <f t="shared" si="4"/>
        <v>0</v>
      </c>
      <c r="X9" s="100">
        <f t="shared" si="4"/>
        <v>0</v>
      </c>
      <c r="Y9" s="100">
        <f t="shared" si="4"/>
        <v>0</v>
      </c>
      <c r="Z9" s="100">
        <f t="shared" si="4"/>
        <v>0</v>
      </c>
      <c r="AA9" s="100">
        <f t="shared" si="4"/>
        <v>0</v>
      </c>
      <c r="AB9" s="100">
        <f t="shared" si="4"/>
        <v>0</v>
      </c>
      <c r="AC9" s="100">
        <f t="shared" si="4"/>
        <v>0</v>
      </c>
      <c r="AD9" s="100">
        <f t="shared" si="4"/>
        <v>0</v>
      </c>
      <c r="AE9" s="100">
        <f t="shared" si="4"/>
        <v>0</v>
      </c>
      <c r="AF9" s="100">
        <f t="shared" si="4"/>
        <v>0</v>
      </c>
      <c r="AG9" s="100">
        <f t="shared" si="4"/>
        <v>0</v>
      </c>
      <c r="AH9" s="100">
        <f t="shared" si="4"/>
        <v>0</v>
      </c>
      <c r="AI9" s="100">
        <f t="shared" si="4"/>
        <v>0</v>
      </c>
      <c r="AJ9" s="100">
        <f t="shared" si="4"/>
        <v>0</v>
      </c>
      <c r="AK9" s="100">
        <f t="shared" si="4"/>
        <v>0</v>
      </c>
      <c r="AL9" s="100">
        <f t="shared" si="4"/>
        <v>0</v>
      </c>
      <c r="AM9" s="100">
        <f t="shared" si="4"/>
        <v>0</v>
      </c>
      <c r="AN9" s="100">
        <f t="shared" si="4"/>
        <v>0</v>
      </c>
      <c r="AO9" s="100">
        <f t="shared" si="4"/>
        <v>0</v>
      </c>
      <c r="AP9" s="100">
        <f t="shared" si="4"/>
        <v>0</v>
      </c>
      <c r="AQ9" s="100">
        <f t="shared" si="4"/>
        <v>0</v>
      </c>
      <c r="AR9" s="100">
        <f t="shared" si="4"/>
        <v>0</v>
      </c>
      <c r="AS9" s="100">
        <f t="shared" si="4"/>
        <v>0</v>
      </c>
      <c r="AT9" s="100">
        <f t="shared" si="4"/>
        <v>0</v>
      </c>
      <c r="AU9" s="100">
        <f t="shared" si="4"/>
        <v>0</v>
      </c>
      <c r="AV9" s="100">
        <f t="shared" si="4"/>
        <v>0</v>
      </c>
      <c r="AW9" s="100">
        <f t="shared" si="4"/>
        <v>0</v>
      </c>
      <c r="AX9" s="100">
        <f t="shared" si="4"/>
        <v>0</v>
      </c>
      <c r="AY9" s="100">
        <f t="shared" si="4"/>
        <v>0</v>
      </c>
      <c r="AZ9" s="100">
        <f t="shared" si="4"/>
        <v>0</v>
      </c>
      <c r="BA9" s="100">
        <f t="shared" si="4"/>
        <v>0</v>
      </c>
      <c r="BB9" s="100">
        <f t="shared" si="4"/>
        <v>0</v>
      </c>
      <c r="BC9" s="100">
        <f t="shared" si="4"/>
        <v>0</v>
      </c>
      <c r="BD9" s="100">
        <f t="shared" si="4"/>
        <v>0</v>
      </c>
      <c r="BE9" s="100">
        <f t="shared" si="4"/>
        <v>0</v>
      </c>
      <c r="BF9" s="100">
        <f t="shared" si="4"/>
        <v>0</v>
      </c>
      <c r="BG9" s="100">
        <f t="shared" si="4"/>
        <v>0</v>
      </c>
      <c r="BH9" s="100">
        <f t="shared" si="4"/>
        <v>0</v>
      </c>
      <c r="BI9" s="100">
        <f t="shared" si="4"/>
        <v>0</v>
      </c>
      <c r="BJ9" s="100">
        <f t="shared" si="4"/>
        <v>0</v>
      </c>
      <c r="BK9" s="15"/>
      <c r="BL9" s="15"/>
      <c r="BM9" s="15"/>
      <c r="BN9" s="15"/>
      <c r="BO9" s="15"/>
      <c r="BP9" s="15"/>
      <c r="BQ9" s="15"/>
      <c r="BR9" s="15"/>
    </row>
    <row r="10" spans="1:70">
      <c r="A10" s="217" t="str">
        <f t="shared" si="0"/>
        <v>Інші</v>
      </c>
      <c r="B10" s="111">
        <f t="shared" si="1"/>
        <v>43188.60033333335</v>
      </c>
      <c r="C10" s="100">
        <f>ROUNDUP(SUM(C5:C7)*$C$34,3)</f>
        <v>41048.517</v>
      </c>
      <c r="D10" s="100">
        <f t="shared" ref="D10:AL10" si="5">SUM(D5:D7)*$C$34</f>
        <v>428.01666666666671</v>
      </c>
      <c r="E10" s="100">
        <f t="shared" si="5"/>
        <v>428.01666666666671</v>
      </c>
      <c r="F10" s="100">
        <f t="shared" si="5"/>
        <v>428.01666666666671</v>
      </c>
      <c r="G10" s="100">
        <f t="shared" si="5"/>
        <v>428.01666666666671</v>
      </c>
      <c r="H10" s="100">
        <f t="shared" si="5"/>
        <v>428.01666666666671</v>
      </c>
      <c r="I10" s="100">
        <f t="shared" si="5"/>
        <v>0</v>
      </c>
      <c r="J10" s="100">
        <f t="shared" si="5"/>
        <v>0</v>
      </c>
      <c r="K10" s="100">
        <f t="shared" si="5"/>
        <v>0</v>
      </c>
      <c r="L10" s="100">
        <f t="shared" si="5"/>
        <v>0</v>
      </c>
      <c r="M10" s="100">
        <f t="shared" si="5"/>
        <v>0</v>
      </c>
      <c r="N10" s="100">
        <f t="shared" si="5"/>
        <v>0</v>
      </c>
      <c r="O10" s="100">
        <f t="shared" si="5"/>
        <v>0</v>
      </c>
      <c r="P10" s="100">
        <f t="shared" si="5"/>
        <v>0</v>
      </c>
      <c r="Q10" s="100">
        <f t="shared" si="5"/>
        <v>0</v>
      </c>
      <c r="R10" s="100">
        <f t="shared" si="5"/>
        <v>0</v>
      </c>
      <c r="S10" s="100">
        <f t="shared" si="5"/>
        <v>0</v>
      </c>
      <c r="T10" s="100">
        <f t="shared" si="5"/>
        <v>0</v>
      </c>
      <c r="U10" s="100">
        <f t="shared" si="5"/>
        <v>0</v>
      </c>
      <c r="V10" s="100">
        <f t="shared" si="5"/>
        <v>0</v>
      </c>
      <c r="W10" s="100">
        <f t="shared" si="5"/>
        <v>0</v>
      </c>
      <c r="X10" s="100">
        <f t="shared" si="5"/>
        <v>0</v>
      </c>
      <c r="Y10" s="100">
        <f t="shared" si="5"/>
        <v>0</v>
      </c>
      <c r="Z10" s="100">
        <f t="shared" si="5"/>
        <v>0</v>
      </c>
      <c r="AA10" s="100">
        <f t="shared" si="5"/>
        <v>0</v>
      </c>
      <c r="AB10" s="100">
        <f t="shared" si="5"/>
        <v>0</v>
      </c>
      <c r="AC10" s="100">
        <f t="shared" si="5"/>
        <v>0</v>
      </c>
      <c r="AD10" s="100">
        <f t="shared" si="5"/>
        <v>0</v>
      </c>
      <c r="AE10" s="100">
        <f t="shared" si="5"/>
        <v>0</v>
      </c>
      <c r="AF10" s="100">
        <f t="shared" si="5"/>
        <v>0</v>
      </c>
      <c r="AG10" s="100">
        <f t="shared" si="5"/>
        <v>0</v>
      </c>
      <c r="AH10" s="100">
        <f t="shared" si="5"/>
        <v>0</v>
      </c>
      <c r="AI10" s="100">
        <f t="shared" si="5"/>
        <v>0</v>
      </c>
      <c r="AJ10" s="100">
        <f t="shared" si="5"/>
        <v>0</v>
      </c>
      <c r="AK10" s="100">
        <f t="shared" si="5"/>
        <v>0</v>
      </c>
      <c r="AL10" s="100">
        <f t="shared" si="5"/>
        <v>0</v>
      </c>
      <c r="AM10" s="100">
        <f t="shared" ref="AM10:BJ10" si="6">SUM(AM5:AM7)*$C$34</f>
        <v>0</v>
      </c>
      <c r="AN10" s="100">
        <f t="shared" si="6"/>
        <v>0</v>
      </c>
      <c r="AO10" s="100">
        <f t="shared" si="6"/>
        <v>0</v>
      </c>
      <c r="AP10" s="100">
        <f t="shared" si="6"/>
        <v>0</v>
      </c>
      <c r="AQ10" s="100">
        <f t="shared" si="6"/>
        <v>0</v>
      </c>
      <c r="AR10" s="100">
        <f t="shared" si="6"/>
        <v>0</v>
      </c>
      <c r="AS10" s="100">
        <f t="shared" si="6"/>
        <v>0</v>
      </c>
      <c r="AT10" s="100">
        <f t="shared" si="6"/>
        <v>0</v>
      </c>
      <c r="AU10" s="100">
        <f t="shared" si="6"/>
        <v>0</v>
      </c>
      <c r="AV10" s="100">
        <f t="shared" si="6"/>
        <v>0</v>
      </c>
      <c r="AW10" s="100">
        <f t="shared" si="6"/>
        <v>0</v>
      </c>
      <c r="AX10" s="100">
        <f t="shared" si="6"/>
        <v>0</v>
      </c>
      <c r="AY10" s="100">
        <f t="shared" si="6"/>
        <v>0</v>
      </c>
      <c r="AZ10" s="100">
        <f t="shared" si="6"/>
        <v>0</v>
      </c>
      <c r="BA10" s="100">
        <f t="shared" si="6"/>
        <v>0</v>
      </c>
      <c r="BB10" s="100">
        <f t="shared" si="6"/>
        <v>0</v>
      </c>
      <c r="BC10" s="100">
        <f t="shared" si="6"/>
        <v>0</v>
      </c>
      <c r="BD10" s="100">
        <f t="shared" si="6"/>
        <v>0</v>
      </c>
      <c r="BE10" s="100">
        <f t="shared" si="6"/>
        <v>0</v>
      </c>
      <c r="BF10" s="100">
        <f t="shared" si="6"/>
        <v>0</v>
      </c>
      <c r="BG10" s="100">
        <f t="shared" si="6"/>
        <v>0</v>
      </c>
      <c r="BH10" s="100">
        <f t="shared" si="6"/>
        <v>0</v>
      </c>
      <c r="BI10" s="100">
        <f t="shared" si="6"/>
        <v>0</v>
      </c>
      <c r="BJ10" s="100">
        <f t="shared" si="6"/>
        <v>0</v>
      </c>
      <c r="BK10" s="15"/>
      <c r="BL10" s="15"/>
      <c r="BM10" s="15"/>
      <c r="BN10" s="15"/>
      <c r="BO10" s="15"/>
      <c r="BP10" s="15"/>
      <c r="BQ10" s="15"/>
      <c r="BR10" s="15"/>
    </row>
    <row r="11" spans="1:70">
      <c r="A11" s="61" t="s">
        <v>162</v>
      </c>
      <c r="B11" s="111">
        <f t="shared" si="1"/>
        <v>0</v>
      </c>
      <c r="C11" s="100">
        <f>SUM(C12:C14)</f>
        <v>0</v>
      </c>
      <c r="D11" s="100">
        <f t="shared" ref="D11:AL11" si="7">SUM(D12:D14)</f>
        <v>0</v>
      </c>
      <c r="E11" s="100">
        <f t="shared" si="7"/>
        <v>0</v>
      </c>
      <c r="F11" s="100">
        <f t="shared" si="7"/>
        <v>0</v>
      </c>
      <c r="G11" s="100">
        <f t="shared" si="7"/>
        <v>0</v>
      </c>
      <c r="H11" s="100">
        <f t="shared" si="7"/>
        <v>0</v>
      </c>
      <c r="I11" s="100">
        <f t="shared" si="7"/>
        <v>0</v>
      </c>
      <c r="J11" s="100">
        <f t="shared" si="7"/>
        <v>0</v>
      </c>
      <c r="K11" s="100">
        <f t="shared" si="7"/>
        <v>0</v>
      </c>
      <c r="L11" s="100">
        <f t="shared" si="7"/>
        <v>0</v>
      </c>
      <c r="M11" s="100">
        <f t="shared" si="7"/>
        <v>0</v>
      </c>
      <c r="N11" s="100">
        <f t="shared" si="7"/>
        <v>0</v>
      </c>
      <c r="O11" s="100">
        <f t="shared" si="7"/>
        <v>0</v>
      </c>
      <c r="P11" s="100">
        <f t="shared" si="7"/>
        <v>0</v>
      </c>
      <c r="Q11" s="100">
        <f t="shared" si="7"/>
        <v>0</v>
      </c>
      <c r="R11" s="100">
        <f t="shared" si="7"/>
        <v>0</v>
      </c>
      <c r="S11" s="100">
        <f t="shared" si="7"/>
        <v>0</v>
      </c>
      <c r="T11" s="100">
        <f t="shared" si="7"/>
        <v>0</v>
      </c>
      <c r="U11" s="100">
        <f t="shared" si="7"/>
        <v>0</v>
      </c>
      <c r="V11" s="100">
        <f t="shared" si="7"/>
        <v>0</v>
      </c>
      <c r="W11" s="100">
        <f t="shared" si="7"/>
        <v>0</v>
      </c>
      <c r="X11" s="100">
        <f t="shared" si="7"/>
        <v>0</v>
      </c>
      <c r="Y11" s="100">
        <f t="shared" si="7"/>
        <v>0</v>
      </c>
      <c r="Z11" s="100">
        <f t="shared" si="7"/>
        <v>0</v>
      </c>
      <c r="AA11" s="100">
        <f t="shared" si="7"/>
        <v>0</v>
      </c>
      <c r="AB11" s="100">
        <f t="shared" si="7"/>
        <v>0</v>
      </c>
      <c r="AC11" s="100">
        <f t="shared" si="7"/>
        <v>0</v>
      </c>
      <c r="AD11" s="100">
        <f t="shared" si="7"/>
        <v>0</v>
      </c>
      <c r="AE11" s="100">
        <f t="shared" si="7"/>
        <v>0</v>
      </c>
      <c r="AF11" s="100">
        <f t="shared" si="7"/>
        <v>0</v>
      </c>
      <c r="AG11" s="100">
        <f t="shared" si="7"/>
        <v>0</v>
      </c>
      <c r="AH11" s="100">
        <f t="shared" si="7"/>
        <v>0</v>
      </c>
      <c r="AI11" s="100">
        <f t="shared" si="7"/>
        <v>0</v>
      </c>
      <c r="AJ11" s="100">
        <f t="shared" si="7"/>
        <v>0</v>
      </c>
      <c r="AK11" s="100">
        <f t="shared" si="7"/>
        <v>0</v>
      </c>
      <c r="AL11" s="100">
        <f t="shared" si="7"/>
        <v>0</v>
      </c>
      <c r="AM11" s="100">
        <f t="shared" ref="AM11:BJ11" si="8">SUM(AM12:AM14)</f>
        <v>0</v>
      </c>
      <c r="AN11" s="100">
        <f t="shared" si="8"/>
        <v>0</v>
      </c>
      <c r="AO11" s="100">
        <f t="shared" si="8"/>
        <v>0</v>
      </c>
      <c r="AP11" s="100">
        <f t="shared" si="8"/>
        <v>0</v>
      </c>
      <c r="AQ11" s="100">
        <f t="shared" si="8"/>
        <v>0</v>
      </c>
      <c r="AR11" s="100">
        <f t="shared" si="8"/>
        <v>0</v>
      </c>
      <c r="AS11" s="100">
        <f t="shared" si="8"/>
        <v>0</v>
      </c>
      <c r="AT11" s="100">
        <f t="shared" si="8"/>
        <v>0</v>
      </c>
      <c r="AU11" s="100">
        <f t="shared" si="8"/>
        <v>0</v>
      </c>
      <c r="AV11" s="100">
        <f t="shared" si="8"/>
        <v>0</v>
      </c>
      <c r="AW11" s="100">
        <f t="shared" si="8"/>
        <v>0</v>
      </c>
      <c r="AX11" s="100">
        <f t="shared" si="8"/>
        <v>0</v>
      </c>
      <c r="AY11" s="100">
        <f t="shared" si="8"/>
        <v>0</v>
      </c>
      <c r="AZ11" s="100">
        <f t="shared" si="8"/>
        <v>0</v>
      </c>
      <c r="BA11" s="100">
        <f t="shared" si="8"/>
        <v>0</v>
      </c>
      <c r="BB11" s="100">
        <f t="shared" si="8"/>
        <v>0</v>
      </c>
      <c r="BC11" s="100">
        <f t="shared" si="8"/>
        <v>0</v>
      </c>
      <c r="BD11" s="100">
        <f t="shared" si="8"/>
        <v>0</v>
      </c>
      <c r="BE11" s="100">
        <f t="shared" si="8"/>
        <v>0</v>
      </c>
      <c r="BF11" s="100">
        <f t="shared" si="8"/>
        <v>0</v>
      </c>
      <c r="BG11" s="100">
        <f t="shared" si="8"/>
        <v>0</v>
      </c>
      <c r="BH11" s="100">
        <f t="shared" si="8"/>
        <v>0</v>
      </c>
      <c r="BI11" s="100">
        <f t="shared" si="8"/>
        <v>0</v>
      </c>
      <c r="BJ11" s="100">
        <f t="shared" si="8"/>
        <v>0</v>
      </c>
      <c r="BK11" s="15"/>
      <c r="BL11" s="15"/>
      <c r="BM11" s="15"/>
      <c r="BN11" s="15"/>
      <c r="BO11" s="15"/>
      <c r="BP11" s="15"/>
      <c r="BQ11" s="15"/>
      <c r="BR11" s="15"/>
    </row>
    <row r="12" spans="1:70">
      <c r="A12" s="60"/>
      <c r="B12" s="111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5"/>
      <c r="BL12" s="15"/>
      <c r="BM12" s="15"/>
      <c r="BN12" s="15"/>
      <c r="BO12" s="15"/>
      <c r="BP12" s="15"/>
      <c r="BQ12" s="15"/>
      <c r="BR12" s="15"/>
    </row>
    <row r="13" spans="1:70">
      <c r="A13" s="60"/>
      <c r="B13" s="111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5"/>
      <c r="BL13" s="15"/>
      <c r="BM13" s="15"/>
      <c r="BN13" s="15"/>
      <c r="BO13" s="15"/>
      <c r="BP13" s="15"/>
      <c r="BQ13" s="15"/>
      <c r="BR13" s="15"/>
    </row>
    <row r="14" spans="1:70">
      <c r="A14" s="60" t="s">
        <v>41</v>
      </c>
      <c r="B14" s="111">
        <f>SUM(C14:BJ14)</f>
        <v>0</v>
      </c>
      <c r="C14" s="100">
        <f>ОДДС!C23</f>
        <v>0</v>
      </c>
      <c r="D14" s="100">
        <f>ОДДС!D23</f>
        <v>0</v>
      </c>
      <c r="E14" s="100">
        <f>ОДДС!E23</f>
        <v>0</v>
      </c>
      <c r="F14" s="100">
        <f>ОДДС!F23</f>
        <v>0</v>
      </c>
      <c r="G14" s="100">
        <f>ОДДС!G23</f>
        <v>0</v>
      </c>
      <c r="H14" s="100">
        <f>ОДДС!H23</f>
        <v>0</v>
      </c>
      <c r="I14" s="100">
        <f>ОДДС!I23</f>
        <v>0</v>
      </c>
      <c r="J14" s="100">
        <f>ОДДС!J23</f>
        <v>0</v>
      </c>
      <c r="K14" s="100">
        <f>ОДДС!K23</f>
        <v>0</v>
      </c>
      <c r="L14" s="100">
        <f>ОДДС!L23</f>
        <v>0</v>
      </c>
      <c r="M14" s="100">
        <f>ОДДС!M23</f>
        <v>0</v>
      </c>
      <c r="N14" s="100">
        <f>ОДДС!N23</f>
        <v>0</v>
      </c>
      <c r="O14" s="100">
        <f>ОДДС!O23</f>
        <v>0</v>
      </c>
      <c r="P14" s="100">
        <f>ОДДС!P23</f>
        <v>0</v>
      </c>
      <c r="Q14" s="100">
        <f>ОДДС!Q23</f>
        <v>0</v>
      </c>
      <c r="R14" s="100">
        <f>ОДДС!R23</f>
        <v>0</v>
      </c>
      <c r="S14" s="100">
        <f>ОДДС!S23</f>
        <v>0</v>
      </c>
      <c r="T14" s="100">
        <f>ОДДС!T23</f>
        <v>0</v>
      </c>
      <c r="U14" s="100">
        <f>ОДДС!U23</f>
        <v>0</v>
      </c>
      <c r="V14" s="100">
        <f>ОДДС!V23</f>
        <v>0</v>
      </c>
      <c r="W14" s="100">
        <f>ОДДС!W23</f>
        <v>0</v>
      </c>
      <c r="X14" s="100">
        <f>ОДДС!X23</f>
        <v>0</v>
      </c>
      <c r="Y14" s="100">
        <f>ОДДС!Y23</f>
        <v>0</v>
      </c>
      <c r="Z14" s="100">
        <f>ОДДС!Z23</f>
        <v>0</v>
      </c>
      <c r="AA14" s="100">
        <f>ОДДС!AA23</f>
        <v>0</v>
      </c>
      <c r="AB14" s="100">
        <f>ОДДС!AB23</f>
        <v>0</v>
      </c>
      <c r="AC14" s="100">
        <f>ОДДС!AC23</f>
        <v>0</v>
      </c>
      <c r="AD14" s="100">
        <f>ОДДС!AD23</f>
        <v>0</v>
      </c>
      <c r="AE14" s="100">
        <f>ОДДС!AE23</f>
        <v>0</v>
      </c>
      <c r="AF14" s="100">
        <f>ОДДС!AF23</f>
        <v>0</v>
      </c>
      <c r="AG14" s="100">
        <f>ОДДС!AG23</f>
        <v>0</v>
      </c>
      <c r="AH14" s="100">
        <f>ОДДС!AH23</f>
        <v>0</v>
      </c>
      <c r="AI14" s="100">
        <f>ОДДС!AI23</f>
        <v>0</v>
      </c>
      <c r="AJ14" s="100">
        <f>ОДДС!AJ23</f>
        <v>0</v>
      </c>
      <c r="AK14" s="100">
        <f>ОДДС!AK23</f>
        <v>0</v>
      </c>
      <c r="AL14" s="100">
        <f>ОДДС!AL23</f>
        <v>0</v>
      </c>
      <c r="AM14" s="100">
        <f>ОДДС!AM23</f>
        <v>0</v>
      </c>
      <c r="AN14" s="100">
        <f>ОДДС!AN23</f>
        <v>0</v>
      </c>
      <c r="AO14" s="100">
        <f>ОДДС!AO23</f>
        <v>0</v>
      </c>
      <c r="AP14" s="100">
        <f>ОДДС!AP23</f>
        <v>0</v>
      </c>
      <c r="AQ14" s="100">
        <f>ОДДС!AQ23</f>
        <v>0</v>
      </c>
      <c r="AR14" s="100">
        <f>ОДДС!AR23</f>
        <v>0</v>
      </c>
      <c r="AS14" s="100">
        <f>ОДДС!AS23</f>
        <v>0</v>
      </c>
      <c r="AT14" s="100">
        <f>ОДДС!AT23</f>
        <v>0</v>
      </c>
      <c r="AU14" s="100">
        <f>ОДДС!AU23</f>
        <v>0</v>
      </c>
      <c r="AV14" s="100">
        <f>ОДДС!AV23</f>
        <v>0</v>
      </c>
      <c r="AW14" s="100">
        <f>ОДДС!AW23</f>
        <v>0</v>
      </c>
      <c r="AX14" s="100">
        <f>ОДДС!AX23</f>
        <v>0</v>
      </c>
      <c r="AY14" s="100">
        <f>ОДДС!AY23</f>
        <v>0</v>
      </c>
      <c r="AZ14" s="100">
        <f>ОДДС!AZ23</f>
        <v>0</v>
      </c>
      <c r="BA14" s="100">
        <f>ОДДС!BA23</f>
        <v>0</v>
      </c>
      <c r="BB14" s="100">
        <f>ОДДС!BB23</f>
        <v>0</v>
      </c>
      <c r="BC14" s="100">
        <f>ОДДС!BC23</f>
        <v>0</v>
      </c>
      <c r="BD14" s="100">
        <f>ОДДС!BD23</f>
        <v>0</v>
      </c>
      <c r="BE14" s="100">
        <f>ОДДС!BE23</f>
        <v>0</v>
      </c>
      <c r="BF14" s="100">
        <f>ОДДС!BF23</f>
        <v>0</v>
      </c>
      <c r="BG14" s="100">
        <f>ОДДС!BG23</f>
        <v>0</v>
      </c>
      <c r="BH14" s="100">
        <f>ОДДС!BH23</f>
        <v>0</v>
      </c>
      <c r="BI14" s="100">
        <f>ОДДС!BI23</f>
        <v>0</v>
      </c>
      <c r="BJ14" s="100">
        <f>ОДДС!BJ23</f>
        <v>0</v>
      </c>
      <c r="BK14" s="15"/>
      <c r="BL14" s="15"/>
      <c r="BM14" s="15"/>
      <c r="BN14" s="15"/>
      <c r="BO14" s="15"/>
      <c r="BP14" s="15"/>
      <c r="BQ14" s="15"/>
      <c r="BR14" s="15"/>
    </row>
    <row r="15" spans="1:70" s="10" customFormat="1" collapsed="1">
      <c r="A15" s="33" t="s">
        <v>0</v>
      </c>
      <c r="B15" s="111">
        <f>SUM(C15:BJ15)</f>
        <v>1463356.6003333339</v>
      </c>
      <c r="C15" s="111">
        <f t="shared" ref="C15:AL15" si="9">SUM(C5:C11)</f>
        <v>1418414.8503333335</v>
      </c>
      <c r="D15" s="111">
        <f t="shared" si="9"/>
        <v>8988.35</v>
      </c>
      <c r="E15" s="111">
        <f t="shared" si="9"/>
        <v>8988.35</v>
      </c>
      <c r="F15" s="111">
        <f t="shared" si="9"/>
        <v>8988.35</v>
      </c>
      <c r="G15" s="111">
        <f t="shared" si="9"/>
        <v>8988.35</v>
      </c>
      <c r="H15" s="111">
        <f t="shared" si="9"/>
        <v>8988.35</v>
      </c>
      <c r="I15" s="111">
        <f t="shared" si="9"/>
        <v>0</v>
      </c>
      <c r="J15" s="111">
        <f t="shared" si="9"/>
        <v>0</v>
      </c>
      <c r="K15" s="111">
        <f t="shared" si="9"/>
        <v>0</v>
      </c>
      <c r="L15" s="111">
        <f t="shared" si="9"/>
        <v>0</v>
      </c>
      <c r="M15" s="111">
        <f t="shared" si="9"/>
        <v>0</v>
      </c>
      <c r="N15" s="111">
        <f t="shared" si="9"/>
        <v>0</v>
      </c>
      <c r="O15" s="111">
        <f t="shared" si="9"/>
        <v>0</v>
      </c>
      <c r="P15" s="111">
        <f t="shared" si="9"/>
        <v>0</v>
      </c>
      <c r="Q15" s="111">
        <f t="shared" si="9"/>
        <v>0</v>
      </c>
      <c r="R15" s="111">
        <f t="shared" si="9"/>
        <v>0</v>
      </c>
      <c r="S15" s="111">
        <f t="shared" si="9"/>
        <v>0</v>
      </c>
      <c r="T15" s="111">
        <f t="shared" si="9"/>
        <v>0</v>
      </c>
      <c r="U15" s="111">
        <f t="shared" si="9"/>
        <v>0</v>
      </c>
      <c r="V15" s="111">
        <f t="shared" si="9"/>
        <v>0</v>
      </c>
      <c r="W15" s="111">
        <f t="shared" si="9"/>
        <v>0</v>
      </c>
      <c r="X15" s="111">
        <f t="shared" si="9"/>
        <v>0</v>
      </c>
      <c r="Y15" s="111">
        <f t="shared" si="9"/>
        <v>0</v>
      </c>
      <c r="Z15" s="111">
        <f t="shared" si="9"/>
        <v>0</v>
      </c>
      <c r="AA15" s="111">
        <f t="shared" si="9"/>
        <v>0</v>
      </c>
      <c r="AB15" s="111">
        <f t="shared" si="9"/>
        <v>0</v>
      </c>
      <c r="AC15" s="111">
        <f t="shared" si="9"/>
        <v>0</v>
      </c>
      <c r="AD15" s="111">
        <f t="shared" si="9"/>
        <v>0</v>
      </c>
      <c r="AE15" s="111">
        <f t="shared" si="9"/>
        <v>0</v>
      </c>
      <c r="AF15" s="111">
        <f t="shared" si="9"/>
        <v>0</v>
      </c>
      <c r="AG15" s="111">
        <f t="shared" si="9"/>
        <v>0</v>
      </c>
      <c r="AH15" s="111">
        <f t="shared" si="9"/>
        <v>0</v>
      </c>
      <c r="AI15" s="111">
        <f t="shared" si="9"/>
        <v>0</v>
      </c>
      <c r="AJ15" s="111">
        <f t="shared" si="9"/>
        <v>0</v>
      </c>
      <c r="AK15" s="111">
        <f t="shared" si="9"/>
        <v>0</v>
      </c>
      <c r="AL15" s="111">
        <f t="shared" si="9"/>
        <v>0</v>
      </c>
      <c r="AM15" s="111">
        <f t="shared" ref="AM15:BJ15" si="10">SUM(AM5:AM11)</f>
        <v>0</v>
      </c>
      <c r="AN15" s="111">
        <f t="shared" si="10"/>
        <v>0</v>
      </c>
      <c r="AO15" s="111">
        <f t="shared" si="10"/>
        <v>0</v>
      </c>
      <c r="AP15" s="111">
        <f t="shared" si="10"/>
        <v>0</v>
      </c>
      <c r="AQ15" s="111">
        <f t="shared" si="10"/>
        <v>0</v>
      </c>
      <c r="AR15" s="111">
        <f t="shared" si="10"/>
        <v>0</v>
      </c>
      <c r="AS15" s="111">
        <f t="shared" si="10"/>
        <v>0</v>
      </c>
      <c r="AT15" s="111">
        <f t="shared" si="10"/>
        <v>0</v>
      </c>
      <c r="AU15" s="111">
        <f t="shared" si="10"/>
        <v>0</v>
      </c>
      <c r="AV15" s="111">
        <f t="shared" si="10"/>
        <v>0</v>
      </c>
      <c r="AW15" s="111">
        <f t="shared" si="10"/>
        <v>0</v>
      </c>
      <c r="AX15" s="111">
        <f t="shared" si="10"/>
        <v>0</v>
      </c>
      <c r="AY15" s="111">
        <f t="shared" si="10"/>
        <v>0</v>
      </c>
      <c r="AZ15" s="111">
        <f t="shared" si="10"/>
        <v>0</v>
      </c>
      <c r="BA15" s="111">
        <f t="shared" si="10"/>
        <v>0</v>
      </c>
      <c r="BB15" s="111">
        <f t="shared" si="10"/>
        <v>0</v>
      </c>
      <c r="BC15" s="111">
        <f t="shared" si="10"/>
        <v>0</v>
      </c>
      <c r="BD15" s="111">
        <f t="shared" si="10"/>
        <v>0</v>
      </c>
      <c r="BE15" s="111">
        <f t="shared" si="10"/>
        <v>0</v>
      </c>
      <c r="BF15" s="111">
        <f t="shared" si="10"/>
        <v>0</v>
      </c>
      <c r="BG15" s="111">
        <f t="shared" si="10"/>
        <v>0</v>
      </c>
      <c r="BH15" s="111">
        <f t="shared" si="10"/>
        <v>0</v>
      </c>
      <c r="BI15" s="111">
        <f t="shared" si="10"/>
        <v>0</v>
      </c>
      <c r="BJ15" s="111">
        <f t="shared" si="10"/>
        <v>0</v>
      </c>
    </row>
    <row r="16" spans="1:70">
      <c r="A16" s="15"/>
      <c r="B16" s="1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</row>
    <row r="17" spans="1:70">
      <c r="A17" s="15"/>
      <c r="B17" s="1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</row>
    <row r="18" spans="1:70">
      <c r="A18" s="15"/>
      <c r="B18" s="1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</row>
    <row r="19" spans="1:70">
      <c r="A19" s="51" t="s">
        <v>7</v>
      </c>
      <c r="B19" s="46" t="str">
        <f t="shared" ref="B19:AL19" si="11">B4</f>
        <v>Итого</v>
      </c>
      <c r="C19" s="46">
        <f t="shared" si="11"/>
        <v>44562</v>
      </c>
      <c r="D19" s="46">
        <f t="shared" si="11"/>
        <v>44593</v>
      </c>
      <c r="E19" s="46">
        <f t="shared" si="11"/>
        <v>44621</v>
      </c>
      <c r="F19" s="46">
        <f t="shared" si="11"/>
        <v>44652</v>
      </c>
      <c r="G19" s="46">
        <f t="shared" si="11"/>
        <v>44682</v>
      </c>
      <c r="H19" s="46">
        <f t="shared" si="11"/>
        <v>44713</v>
      </c>
      <c r="I19" s="46">
        <f t="shared" si="11"/>
        <v>44743</v>
      </c>
      <c r="J19" s="46">
        <f t="shared" si="11"/>
        <v>44774</v>
      </c>
      <c r="K19" s="46">
        <f t="shared" si="11"/>
        <v>44805</v>
      </c>
      <c r="L19" s="46">
        <f t="shared" si="11"/>
        <v>44835</v>
      </c>
      <c r="M19" s="46">
        <f t="shared" si="11"/>
        <v>44866</v>
      </c>
      <c r="N19" s="46">
        <f t="shared" si="11"/>
        <v>44896</v>
      </c>
      <c r="O19" s="46">
        <f t="shared" si="11"/>
        <v>44927</v>
      </c>
      <c r="P19" s="46">
        <f t="shared" si="11"/>
        <v>44958</v>
      </c>
      <c r="Q19" s="46">
        <f t="shared" si="11"/>
        <v>44986</v>
      </c>
      <c r="R19" s="46">
        <f t="shared" si="11"/>
        <v>45017</v>
      </c>
      <c r="S19" s="46">
        <f t="shared" si="11"/>
        <v>45047</v>
      </c>
      <c r="T19" s="46">
        <f t="shared" si="11"/>
        <v>45078</v>
      </c>
      <c r="U19" s="46">
        <f t="shared" si="11"/>
        <v>45108</v>
      </c>
      <c r="V19" s="46">
        <f t="shared" si="11"/>
        <v>45139</v>
      </c>
      <c r="W19" s="46">
        <f t="shared" si="11"/>
        <v>45170</v>
      </c>
      <c r="X19" s="46">
        <f t="shared" si="11"/>
        <v>45200</v>
      </c>
      <c r="Y19" s="46">
        <f t="shared" si="11"/>
        <v>45231</v>
      </c>
      <c r="Z19" s="46">
        <f t="shared" si="11"/>
        <v>45261</v>
      </c>
      <c r="AA19" s="46">
        <f t="shared" si="11"/>
        <v>45292</v>
      </c>
      <c r="AB19" s="46">
        <f t="shared" si="11"/>
        <v>45323</v>
      </c>
      <c r="AC19" s="46">
        <f t="shared" si="11"/>
        <v>45352</v>
      </c>
      <c r="AD19" s="46">
        <f t="shared" si="11"/>
        <v>45383</v>
      </c>
      <c r="AE19" s="46">
        <f t="shared" si="11"/>
        <v>45413</v>
      </c>
      <c r="AF19" s="46">
        <f t="shared" si="11"/>
        <v>45444</v>
      </c>
      <c r="AG19" s="46">
        <f t="shared" si="11"/>
        <v>45474</v>
      </c>
      <c r="AH19" s="46">
        <f t="shared" si="11"/>
        <v>45505</v>
      </c>
      <c r="AI19" s="46">
        <f t="shared" si="11"/>
        <v>45536</v>
      </c>
      <c r="AJ19" s="46">
        <f t="shared" si="11"/>
        <v>45566</v>
      </c>
      <c r="AK19" s="46">
        <f t="shared" si="11"/>
        <v>45597</v>
      </c>
      <c r="AL19" s="46">
        <f t="shared" si="11"/>
        <v>45627</v>
      </c>
      <c r="AM19" s="46">
        <f t="shared" ref="AM19:BJ19" si="12">AM4</f>
        <v>45658</v>
      </c>
      <c r="AN19" s="46">
        <f t="shared" si="12"/>
        <v>45689</v>
      </c>
      <c r="AO19" s="46">
        <f t="shared" si="12"/>
        <v>45717</v>
      </c>
      <c r="AP19" s="46">
        <f t="shared" si="12"/>
        <v>45748</v>
      </c>
      <c r="AQ19" s="46">
        <f t="shared" si="12"/>
        <v>45778</v>
      </c>
      <c r="AR19" s="46">
        <f t="shared" si="12"/>
        <v>45809</v>
      </c>
      <c r="AS19" s="46">
        <f t="shared" si="12"/>
        <v>45839</v>
      </c>
      <c r="AT19" s="46">
        <f t="shared" si="12"/>
        <v>45870</v>
      </c>
      <c r="AU19" s="46">
        <f t="shared" si="12"/>
        <v>45901</v>
      </c>
      <c r="AV19" s="46">
        <f t="shared" si="12"/>
        <v>45931</v>
      </c>
      <c r="AW19" s="46">
        <f t="shared" si="12"/>
        <v>45962</v>
      </c>
      <c r="AX19" s="46">
        <f t="shared" si="12"/>
        <v>45992</v>
      </c>
      <c r="AY19" s="46">
        <f t="shared" si="12"/>
        <v>46023</v>
      </c>
      <c r="AZ19" s="46">
        <f t="shared" si="12"/>
        <v>46054</v>
      </c>
      <c r="BA19" s="46">
        <f t="shared" si="12"/>
        <v>46082</v>
      </c>
      <c r="BB19" s="46">
        <f t="shared" si="12"/>
        <v>46113</v>
      </c>
      <c r="BC19" s="46">
        <f t="shared" si="12"/>
        <v>46143</v>
      </c>
      <c r="BD19" s="46">
        <f t="shared" si="12"/>
        <v>46174</v>
      </c>
      <c r="BE19" s="46">
        <f t="shared" si="12"/>
        <v>46204</v>
      </c>
      <c r="BF19" s="46">
        <f t="shared" si="12"/>
        <v>46235</v>
      </c>
      <c r="BG19" s="46">
        <f t="shared" si="12"/>
        <v>46266</v>
      </c>
      <c r="BH19" s="46">
        <f t="shared" si="12"/>
        <v>46296</v>
      </c>
      <c r="BI19" s="46">
        <f t="shared" si="12"/>
        <v>46327</v>
      </c>
      <c r="BJ19" s="46">
        <f t="shared" si="12"/>
        <v>46357</v>
      </c>
      <c r="BK19" s="15"/>
      <c r="BL19" s="15"/>
      <c r="BM19" s="15"/>
      <c r="BN19" s="15"/>
      <c r="BO19" s="15"/>
      <c r="BP19" s="15"/>
      <c r="BQ19" s="15"/>
      <c r="BR19" s="15"/>
    </row>
    <row r="20" spans="1:70">
      <c r="A20" s="39" t="s">
        <v>8</v>
      </c>
      <c r="B20" s="100">
        <f>BJ20</f>
        <v>1463356.6003333339</v>
      </c>
      <c r="C20" s="100">
        <f>C15</f>
        <v>1418414.8503333335</v>
      </c>
      <c r="D20" s="100">
        <f>C20+D15</f>
        <v>1427403.2003333336</v>
      </c>
      <c r="E20" s="100">
        <f t="shared" ref="E20:AL20" si="13">D20+E15</f>
        <v>1436391.5503333337</v>
      </c>
      <c r="F20" s="100">
        <f t="shared" si="13"/>
        <v>1445379.9003333338</v>
      </c>
      <c r="G20" s="100">
        <f t="shared" si="13"/>
        <v>1454368.2503333339</v>
      </c>
      <c r="H20" s="100">
        <f t="shared" si="13"/>
        <v>1463356.6003333339</v>
      </c>
      <c r="I20" s="100">
        <f t="shared" si="13"/>
        <v>1463356.6003333339</v>
      </c>
      <c r="J20" s="100">
        <f t="shared" si="13"/>
        <v>1463356.6003333339</v>
      </c>
      <c r="K20" s="100">
        <f t="shared" si="13"/>
        <v>1463356.6003333339</v>
      </c>
      <c r="L20" s="100">
        <f t="shared" si="13"/>
        <v>1463356.6003333339</v>
      </c>
      <c r="M20" s="100">
        <f t="shared" si="13"/>
        <v>1463356.6003333339</v>
      </c>
      <c r="N20" s="100">
        <f t="shared" si="13"/>
        <v>1463356.6003333339</v>
      </c>
      <c r="O20" s="100">
        <f t="shared" si="13"/>
        <v>1463356.6003333339</v>
      </c>
      <c r="P20" s="100">
        <f t="shared" si="13"/>
        <v>1463356.6003333339</v>
      </c>
      <c r="Q20" s="100">
        <f t="shared" si="13"/>
        <v>1463356.6003333339</v>
      </c>
      <c r="R20" s="100">
        <f t="shared" si="13"/>
        <v>1463356.6003333339</v>
      </c>
      <c r="S20" s="100">
        <f t="shared" si="13"/>
        <v>1463356.6003333339</v>
      </c>
      <c r="T20" s="100">
        <f t="shared" si="13"/>
        <v>1463356.6003333339</v>
      </c>
      <c r="U20" s="100">
        <f t="shared" si="13"/>
        <v>1463356.6003333339</v>
      </c>
      <c r="V20" s="100">
        <f t="shared" si="13"/>
        <v>1463356.6003333339</v>
      </c>
      <c r="W20" s="100">
        <f t="shared" si="13"/>
        <v>1463356.6003333339</v>
      </c>
      <c r="X20" s="100">
        <f t="shared" si="13"/>
        <v>1463356.6003333339</v>
      </c>
      <c r="Y20" s="100">
        <f t="shared" si="13"/>
        <v>1463356.6003333339</v>
      </c>
      <c r="Z20" s="100">
        <f t="shared" si="13"/>
        <v>1463356.6003333339</v>
      </c>
      <c r="AA20" s="100">
        <f t="shared" si="13"/>
        <v>1463356.6003333339</v>
      </c>
      <c r="AB20" s="100">
        <f t="shared" si="13"/>
        <v>1463356.6003333339</v>
      </c>
      <c r="AC20" s="100">
        <f t="shared" si="13"/>
        <v>1463356.6003333339</v>
      </c>
      <c r="AD20" s="100">
        <f t="shared" si="13"/>
        <v>1463356.6003333339</v>
      </c>
      <c r="AE20" s="100">
        <f t="shared" si="13"/>
        <v>1463356.6003333339</v>
      </c>
      <c r="AF20" s="100">
        <f t="shared" si="13"/>
        <v>1463356.6003333339</v>
      </c>
      <c r="AG20" s="100">
        <f t="shared" si="13"/>
        <v>1463356.6003333339</v>
      </c>
      <c r="AH20" s="100">
        <f t="shared" si="13"/>
        <v>1463356.6003333339</v>
      </c>
      <c r="AI20" s="100">
        <f t="shared" si="13"/>
        <v>1463356.6003333339</v>
      </c>
      <c r="AJ20" s="100">
        <f t="shared" si="13"/>
        <v>1463356.6003333339</v>
      </c>
      <c r="AK20" s="100">
        <f t="shared" si="13"/>
        <v>1463356.6003333339</v>
      </c>
      <c r="AL20" s="100">
        <f t="shared" si="13"/>
        <v>1463356.6003333339</v>
      </c>
      <c r="AM20" s="100">
        <f t="shared" ref="AM20" si="14">AL20+AM15</f>
        <v>1463356.6003333339</v>
      </c>
      <c r="AN20" s="100">
        <f t="shared" ref="AN20" si="15">AM20+AN15</f>
        <v>1463356.6003333339</v>
      </c>
      <c r="AO20" s="100">
        <f t="shared" ref="AO20" si="16">AN20+AO15</f>
        <v>1463356.6003333339</v>
      </c>
      <c r="AP20" s="100">
        <f t="shared" ref="AP20" si="17">AO20+AP15</f>
        <v>1463356.6003333339</v>
      </c>
      <c r="AQ20" s="100">
        <f t="shared" ref="AQ20" si="18">AP20+AQ15</f>
        <v>1463356.6003333339</v>
      </c>
      <c r="AR20" s="100">
        <f t="shared" ref="AR20" si="19">AQ20+AR15</f>
        <v>1463356.6003333339</v>
      </c>
      <c r="AS20" s="100">
        <f t="shared" ref="AS20" si="20">AR20+AS15</f>
        <v>1463356.6003333339</v>
      </c>
      <c r="AT20" s="100">
        <f t="shared" ref="AT20" si="21">AS20+AT15</f>
        <v>1463356.6003333339</v>
      </c>
      <c r="AU20" s="100">
        <f t="shared" ref="AU20" si="22">AT20+AU15</f>
        <v>1463356.6003333339</v>
      </c>
      <c r="AV20" s="100">
        <f t="shared" ref="AV20" si="23">AU20+AV15</f>
        <v>1463356.6003333339</v>
      </c>
      <c r="AW20" s="100">
        <f t="shared" ref="AW20" si="24">AV20+AW15</f>
        <v>1463356.6003333339</v>
      </c>
      <c r="AX20" s="100">
        <f t="shared" ref="AX20" si="25">AW20+AX15</f>
        <v>1463356.6003333339</v>
      </c>
      <c r="AY20" s="100">
        <f t="shared" ref="AY20" si="26">AX20+AY15</f>
        <v>1463356.6003333339</v>
      </c>
      <c r="AZ20" s="100">
        <f t="shared" ref="AZ20" si="27">AY20+AZ15</f>
        <v>1463356.6003333339</v>
      </c>
      <c r="BA20" s="100">
        <f t="shared" ref="BA20" si="28">AZ20+BA15</f>
        <v>1463356.6003333339</v>
      </c>
      <c r="BB20" s="100">
        <f t="shared" ref="BB20" si="29">BA20+BB15</f>
        <v>1463356.6003333339</v>
      </c>
      <c r="BC20" s="100">
        <f t="shared" ref="BC20" si="30">BB20+BC15</f>
        <v>1463356.6003333339</v>
      </c>
      <c r="BD20" s="100">
        <f t="shared" ref="BD20" si="31">BC20+BD15</f>
        <v>1463356.6003333339</v>
      </c>
      <c r="BE20" s="100">
        <f t="shared" ref="BE20" si="32">BD20+BE15</f>
        <v>1463356.6003333339</v>
      </c>
      <c r="BF20" s="100">
        <f t="shared" ref="BF20" si="33">BE20+BF15</f>
        <v>1463356.6003333339</v>
      </c>
      <c r="BG20" s="100">
        <f t="shared" ref="BG20" si="34">BF20+BG15</f>
        <v>1463356.6003333339</v>
      </c>
      <c r="BH20" s="100">
        <f t="shared" ref="BH20" si="35">BG20+BH15</f>
        <v>1463356.6003333339</v>
      </c>
      <c r="BI20" s="100">
        <f t="shared" ref="BI20" si="36">BH20+BI15</f>
        <v>1463356.6003333339</v>
      </c>
      <c r="BJ20" s="100">
        <f t="shared" ref="BJ20" si="37">BI20+BJ15</f>
        <v>1463356.6003333339</v>
      </c>
      <c r="BK20" s="15"/>
      <c r="BL20" s="15"/>
      <c r="BM20" s="15"/>
      <c r="BN20" s="15"/>
      <c r="BO20" s="15"/>
      <c r="BP20" s="15"/>
      <c r="BQ20" s="15"/>
      <c r="BR20" s="15"/>
    </row>
    <row r="21" spans="1:70">
      <c r="A21" s="15"/>
      <c r="B21" s="15"/>
      <c r="C21" s="40"/>
      <c r="D21" s="40"/>
      <c r="E21" s="40"/>
      <c r="F21" s="40"/>
      <c r="G21" s="40"/>
      <c r="H21" s="40"/>
      <c r="I21" s="40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</row>
    <row r="22" spans="1:70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</row>
    <row r="23" spans="1:70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</row>
    <row r="24" spans="1:70">
      <c r="A24" s="8"/>
      <c r="B24" s="8"/>
      <c r="C24" s="8"/>
      <c r="D24" s="8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</row>
    <row r="25" spans="1:70" ht="18">
      <c r="A25" s="28" t="s">
        <v>28</v>
      </c>
      <c r="B25" s="8"/>
      <c r="C25" s="8"/>
      <c r="D25" s="8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</row>
    <row r="26" spans="1:70" ht="14">
      <c r="A26" s="41"/>
      <c r="B26" s="8"/>
      <c r="C26" s="8"/>
      <c r="D26" s="8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</row>
    <row r="27" spans="1:70">
      <c r="A27" s="8"/>
      <c r="B27" s="8"/>
      <c r="C27" s="8"/>
      <c r="D27" s="8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</row>
    <row r="28" spans="1:70">
      <c r="A28" s="47" t="s">
        <v>279</v>
      </c>
      <c r="B28" s="48" t="s">
        <v>278</v>
      </c>
      <c r="C28" s="48" t="s">
        <v>144</v>
      </c>
      <c r="D28" s="48" t="s">
        <v>129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</row>
    <row r="29" spans="1:70">
      <c r="A29" s="215" t="s">
        <v>318</v>
      </c>
      <c r="B29" s="50">
        <f>C29</f>
        <v>250000</v>
      </c>
      <c r="C29" s="50">
        <v>250000</v>
      </c>
      <c r="D29" s="42"/>
      <c r="E29" s="285"/>
      <c r="F29" s="15"/>
      <c r="G29" s="14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</row>
    <row r="30" spans="1:70">
      <c r="A30" s="215" t="s">
        <v>319</v>
      </c>
      <c r="B30" s="50">
        <f t="shared" ref="B30:B33" si="38">C30</f>
        <v>562410</v>
      </c>
      <c r="C30" s="50">
        <v>562410</v>
      </c>
      <c r="D30" s="42"/>
      <c r="E30" s="285"/>
      <c r="F30" s="15"/>
      <c r="G30" s="14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</row>
    <row r="31" spans="1:70">
      <c r="A31" s="215" t="s">
        <v>160</v>
      </c>
      <c r="B31" s="50">
        <f t="shared" si="38"/>
        <v>51362</v>
      </c>
      <c r="C31" s="50">
        <v>51362</v>
      </c>
      <c r="D31" s="42"/>
      <c r="E31" s="285"/>
      <c r="F31" s="15"/>
      <c r="G31" s="14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</row>
    <row r="32" spans="1:70">
      <c r="A32" s="316" t="s">
        <v>148</v>
      </c>
      <c r="B32" s="50">
        <f t="shared" si="38"/>
        <v>4500</v>
      </c>
      <c r="C32" s="50">
        <v>4500</v>
      </c>
      <c r="D32" s="318"/>
      <c r="E32" s="285"/>
      <c r="F32" s="15"/>
      <c r="G32" s="14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</row>
    <row r="33" spans="1:70">
      <c r="A33" s="316" t="s">
        <v>320</v>
      </c>
      <c r="B33" s="50">
        <f t="shared" si="38"/>
        <v>551896</v>
      </c>
      <c r="C33" s="317">
        <v>551896</v>
      </c>
      <c r="D33" s="318"/>
      <c r="E33" s="285"/>
      <c r="F33" s="15"/>
      <c r="G33" s="14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</row>
    <row r="34" spans="1:70">
      <c r="A34" s="316" t="s">
        <v>161</v>
      </c>
      <c r="B34" s="317"/>
      <c r="C34" s="398">
        <v>0.05</v>
      </c>
      <c r="D34" s="318"/>
      <c r="E34" s="285"/>
      <c r="F34" s="15"/>
      <c r="G34" s="14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</row>
    <row r="35" spans="1:70">
      <c r="A35" s="8"/>
      <c r="B35" s="260"/>
      <c r="C35" s="247"/>
      <c r="D35" s="247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</row>
    <row r="36" spans="1:70">
      <c r="A36" s="8"/>
      <c r="B36" s="260"/>
      <c r="C36" s="247"/>
      <c r="D36" s="247"/>
      <c r="E36" s="248"/>
      <c r="F36" s="248"/>
      <c r="G36" s="248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</row>
    <row r="37" spans="1:70">
      <c r="A37" s="8"/>
      <c r="B37" s="8"/>
      <c r="C37" s="8"/>
      <c r="D37" s="247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</row>
    <row r="38" spans="1:70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</row>
    <row r="39" spans="1:70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</row>
    <row r="40" spans="1:70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</row>
    <row r="41" spans="1:70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</row>
    <row r="42" spans="1:70" ht="18">
      <c r="A42" s="32" t="s">
        <v>246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</row>
    <row r="43" spans="1:70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</row>
    <row r="44" spans="1:7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</row>
    <row r="45" spans="1:70">
      <c r="A45" s="45" t="s">
        <v>6</v>
      </c>
      <c r="B45" s="46" t="s">
        <v>0</v>
      </c>
      <c r="C45" s="46" t="s">
        <v>30</v>
      </c>
      <c r="D45" s="46" t="s">
        <v>31</v>
      </c>
      <c r="E45" s="46" t="s">
        <v>32</v>
      </c>
      <c r="F45" s="46"/>
      <c r="G45" s="46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</row>
    <row r="46" spans="1:70">
      <c r="A46" s="217" t="str">
        <f>A5</f>
        <v>Обробка і ремонт приміщення</v>
      </c>
      <c r="B46" s="38">
        <f t="shared" ref="B46:B53" si="39">SUM(C46:G46)</f>
        <v>250000</v>
      </c>
      <c r="C46" s="38">
        <f>SUM(C5:N5)</f>
        <v>250000</v>
      </c>
      <c r="D46" s="38">
        <f>SUM(O5:Z5)</f>
        <v>0</v>
      </c>
      <c r="E46" s="38">
        <f>SUM(AA5:AL5)</f>
        <v>0</v>
      </c>
      <c r="F46" s="38"/>
      <c r="G46" s="38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</row>
    <row r="47" spans="1:70">
      <c r="A47" s="217" t="str">
        <f>A6</f>
        <v>Закупівля музейних експонатів та установочні роботи</v>
      </c>
      <c r="B47" s="38">
        <f>SUM(C47:G47)</f>
        <v>562410</v>
      </c>
      <c r="C47" s="38">
        <f>SUM(C6:N6)</f>
        <v>562410</v>
      </c>
      <c r="D47" s="38">
        <f>SUM(O6:Z6)</f>
        <v>0</v>
      </c>
      <c r="E47" s="38">
        <f>SUM(AA6:AL6)</f>
        <v>0</v>
      </c>
      <c r="F47" s="38"/>
      <c r="G47" s="38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</row>
    <row r="48" spans="1:70">
      <c r="A48" s="217" t="str">
        <f>A7</f>
        <v>Початковий маркетинг та позиціонування підприємства</v>
      </c>
      <c r="B48" s="38">
        <f>SUM(C48:G48)</f>
        <v>51362.000000000007</v>
      </c>
      <c r="C48" s="38">
        <f>SUM(C7:N7)</f>
        <v>51362.000000000007</v>
      </c>
      <c r="D48" s="38">
        <f>SUM(O7:Z7)</f>
        <v>0</v>
      </c>
      <c r="E48" s="38">
        <f>SUM(AA7:AL7)</f>
        <v>0</v>
      </c>
      <c r="F48" s="38"/>
      <c r="G48" s="38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</row>
    <row r="49" spans="1:70">
      <c r="A49" s="61" t="str">
        <f>A11</f>
        <v>Оборотні кошти</v>
      </c>
      <c r="B49" s="38">
        <f t="shared" si="39"/>
        <v>0</v>
      </c>
      <c r="C49" s="38">
        <f>SUM(C11:N11)</f>
        <v>0</v>
      </c>
      <c r="D49" s="38">
        <f>SUM(O11:Z11)</f>
        <v>0</v>
      </c>
      <c r="E49" s="38">
        <f>SUM(AA11:AL11)</f>
        <v>0</v>
      </c>
      <c r="F49" s="38"/>
      <c r="G49" s="38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</row>
    <row r="50" spans="1:70">
      <c r="A50" s="60">
        <f>A12</f>
        <v>0</v>
      </c>
      <c r="B50" s="38">
        <f t="shared" si="39"/>
        <v>0</v>
      </c>
      <c r="C50" s="38">
        <f>SUM(C12:N12)</f>
        <v>0</v>
      </c>
      <c r="D50" s="38">
        <f>SUM(O12:Z12)</f>
        <v>0</v>
      </c>
      <c r="E50" s="38">
        <f>SUM(AA12:AL12)</f>
        <v>0</v>
      </c>
      <c r="F50" s="38"/>
      <c r="G50" s="38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</row>
    <row r="51" spans="1:70">
      <c r="A51" s="60">
        <f>A13</f>
        <v>0</v>
      </c>
      <c r="B51" s="38">
        <f t="shared" si="39"/>
        <v>0</v>
      </c>
      <c r="C51" s="38">
        <f>SUM(C13:N13)</f>
        <v>0</v>
      </c>
      <c r="D51" s="38">
        <f>SUM(O13:Z13)</f>
        <v>0</v>
      </c>
      <c r="E51" s="38">
        <f>SUM(AA13:AL13)</f>
        <v>0</v>
      </c>
      <c r="F51" s="38"/>
      <c r="G51" s="38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</row>
    <row r="52" spans="1:70">
      <c r="A52" s="60" t="str">
        <f>A14</f>
        <v>Прочие оборотные средства</v>
      </c>
      <c r="B52" s="38">
        <f t="shared" si="39"/>
        <v>0</v>
      </c>
      <c r="C52" s="38">
        <f>SUM(C14:N14)</f>
        <v>0</v>
      </c>
      <c r="D52" s="38">
        <f>SUM(O14:Z14)</f>
        <v>0</v>
      </c>
      <c r="E52" s="38">
        <f>SUM(AA14:AL14)</f>
        <v>0</v>
      </c>
      <c r="F52" s="38"/>
      <c r="G52" s="38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</row>
    <row r="53" spans="1:70">
      <c r="A53" s="49" t="str">
        <f>A15</f>
        <v>Итого</v>
      </c>
      <c r="B53" s="50">
        <f t="shared" si="39"/>
        <v>1463356.6003333339</v>
      </c>
      <c r="C53" s="50">
        <f>SUM(C15:N15)</f>
        <v>1463356.6003333339</v>
      </c>
      <c r="D53" s="50">
        <f>SUM(O15:Z15)</f>
        <v>0</v>
      </c>
      <c r="E53" s="50">
        <f>SUM(AA15:AL15)</f>
        <v>0</v>
      </c>
      <c r="F53" s="50"/>
      <c r="G53" s="50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</row>
    <row r="54" spans="1:70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</row>
    <row r="55" spans="1:70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</row>
    <row r="56" spans="1:70">
      <c r="A56" s="45" t="s">
        <v>7</v>
      </c>
      <c r="B56" s="46" t="str">
        <f t="shared" ref="B56:E56" si="40">B45</f>
        <v>Итого</v>
      </c>
      <c r="C56" s="46" t="str">
        <f t="shared" si="40"/>
        <v>1 год</v>
      </c>
      <c r="D56" s="46" t="str">
        <f t="shared" si="40"/>
        <v>2 год</v>
      </c>
      <c r="E56" s="46" t="str">
        <f t="shared" si="40"/>
        <v>3 год</v>
      </c>
      <c r="F56" s="46"/>
      <c r="G56" s="46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</row>
    <row r="57" spans="1:70">
      <c r="A57" s="43" t="s">
        <v>8</v>
      </c>
      <c r="B57" s="38">
        <f>G57</f>
        <v>0</v>
      </c>
      <c r="C57" s="38">
        <f>C53</f>
        <v>1463356.6003333339</v>
      </c>
      <c r="D57" s="38">
        <f>C57+D53</f>
        <v>1463356.6003333339</v>
      </c>
      <c r="E57" s="38">
        <f>D57+E53</f>
        <v>1463356.6003333339</v>
      </c>
      <c r="F57" s="38"/>
      <c r="G57" s="38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</row>
    <row r="58" spans="1:70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</row>
    <row r="59" spans="1:70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</row>
    <row r="60" spans="1:7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</row>
    <row r="61" spans="1:70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</row>
    <row r="62" spans="1:70">
      <c r="A62" s="45" t="s">
        <v>280</v>
      </c>
      <c r="B62" s="58" t="s">
        <v>144</v>
      </c>
      <c r="C62" s="58" t="s">
        <v>12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</row>
    <row r="63" spans="1:70">
      <c r="A63" s="222" t="s">
        <v>281</v>
      </c>
      <c r="B63" s="223">
        <f>B53</f>
        <v>1463356.6003333339</v>
      </c>
      <c r="C63" s="113">
        <v>1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</row>
    <row r="64" spans="1:70">
      <c r="A64" s="227" t="s">
        <v>333</v>
      </c>
      <c r="B64" s="38">
        <f>B63*0.7</f>
        <v>1024349.6202333337</v>
      </c>
      <c r="C64" s="234">
        <f>B64/$B$63</f>
        <v>0.7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</row>
    <row r="65" spans="1:70">
      <c r="A65" s="109" t="s">
        <v>282</v>
      </c>
      <c r="B65" s="38">
        <f>B63*0.3</f>
        <v>439006.98010000016</v>
      </c>
      <c r="C65" s="234">
        <f>B65/$B$63</f>
        <v>0.3</v>
      </c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</row>
    <row r="66" spans="1:70">
      <c r="B66" s="38"/>
      <c r="C66" s="23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</row>
    <row r="67" spans="1:70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</row>
    <row r="68" spans="1:70">
      <c r="A68" s="15"/>
      <c r="B68" s="15"/>
      <c r="C68" s="15"/>
      <c r="D68" s="14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</row>
    <row r="69" spans="1:70">
      <c r="A69" s="15"/>
      <c r="B69" s="15"/>
      <c r="C69" s="15"/>
      <c r="D69" s="410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</row>
    <row r="70" spans="1:70">
      <c r="A70" s="15"/>
      <c r="B70" s="15"/>
      <c r="C70" s="15"/>
      <c r="D70" s="14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</row>
    <row r="71" spans="1:70">
      <c r="A71" s="15"/>
      <c r="B71" s="15"/>
      <c r="C71" s="40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</row>
    <row r="72" spans="1:70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</row>
    <row r="73" spans="1:70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</row>
    <row r="74" spans="1:70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</row>
    <row r="75" spans="1:70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</row>
    <row r="76" spans="1:70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</row>
    <row r="77" spans="1:70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</row>
    <row r="78" spans="1:70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</row>
    <row r="79" spans="1:70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</row>
    <row r="80" spans="1:70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</row>
    <row r="81" spans="1:70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</row>
    <row r="82" spans="1:70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</row>
    <row r="83" spans="1:70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</row>
    <row r="84" spans="1:70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</row>
    <row r="85" spans="1:70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</row>
    <row r="86" spans="1:70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</row>
    <row r="87" spans="1:70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</row>
    <row r="88" spans="1:70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</row>
    <row r="89" spans="1:70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</row>
    <row r="90" spans="1:70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</row>
    <row r="91" spans="1:70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</row>
    <row r="92" spans="1:70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</row>
    <row r="93" spans="1:70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</row>
    <row r="94" spans="1:70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</row>
    <row r="95" spans="1:70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</row>
    <row r="96" spans="1:70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</row>
    <row r="97" spans="1:70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</row>
    <row r="98" spans="1:70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</row>
    <row r="99" spans="1:70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</row>
    <row r="100" spans="1:70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</row>
    <row r="101" spans="1:70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</row>
    <row r="102" spans="1:70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</row>
    <row r="103" spans="1:70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</row>
    <row r="104" spans="1:70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</row>
    <row r="105" spans="1:70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</row>
    <row r="106" spans="1:70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</row>
    <row r="107" spans="1:70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</row>
    <row r="108" spans="1:70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</row>
    <row r="109" spans="1:70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</row>
    <row r="110" spans="1:70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</row>
    <row r="111" spans="1:70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</row>
    <row r="112" spans="1:70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</row>
    <row r="113" spans="1:70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</row>
    <row r="114" spans="1:70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</row>
    <row r="115" spans="1:70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</row>
    <row r="116" spans="1:70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</row>
    <row r="117" spans="1:70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</row>
    <row r="118" spans="1:70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</row>
    <row r="119" spans="1:70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</row>
    <row r="120" spans="1:70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</row>
    <row r="121" spans="1:70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</row>
    <row r="122" spans="1:70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</row>
    <row r="123" spans="1:70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</row>
    <row r="124" spans="1:70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</row>
    <row r="125" spans="1:70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</row>
    <row r="126" spans="1:70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</row>
    <row r="127" spans="1:70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</row>
    <row r="128" spans="1:70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</row>
    <row r="129" spans="1:70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</row>
    <row r="130" spans="1:70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</row>
    <row r="131" spans="1:70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</row>
    <row r="132" spans="1:70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</row>
    <row r="133" spans="1:70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</row>
    <row r="134" spans="1:70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</row>
    <row r="135" spans="1:70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</row>
    <row r="136" spans="1:70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</row>
    <row r="137" spans="1:70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</row>
    <row r="138" spans="1:70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</row>
    <row r="139" spans="1:70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</row>
    <row r="140" spans="1:70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</row>
    <row r="141" spans="1:70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</row>
    <row r="142" spans="1:70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</row>
    <row r="143" spans="1:70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</row>
    <row r="144" spans="1:70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</row>
    <row r="145" spans="1:70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</row>
    <row r="146" spans="1:70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</row>
    <row r="147" spans="1:70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</row>
    <row r="148" spans="1:70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</row>
    <row r="149" spans="1:70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</row>
    <row r="150" spans="1:70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</row>
    <row r="151" spans="1:70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</row>
    <row r="152" spans="1:70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</row>
    <row r="153" spans="1:70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</row>
    <row r="154" spans="1:70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</row>
    <row r="155" spans="1:70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</row>
    <row r="156" spans="1:70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</row>
    <row r="157" spans="1:70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</row>
    <row r="158" spans="1:70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</row>
    <row r="159" spans="1:70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</row>
    <row r="160" spans="1:70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</row>
    <row r="161" spans="1:70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</row>
    <row r="162" spans="1:70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</row>
    <row r="163" spans="1:70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</row>
    <row r="164" spans="1:70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</row>
    <row r="165" spans="1:70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</row>
    <row r="166" spans="1:70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</row>
    <row r="167" spans="1:70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</row>
    <row r="168" spans="1:70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</row>
    <row r="169" spans="1:70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</row>
    <row r="170" spans="1:70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</row>
    <row r="171" spans="1:70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</row>
    <row r="172" spans="1:70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</row>
    <row r="173" spans="1:70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</row>
    <row r="174" spans="1:70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</row>
    <row r="175" spans="1:70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</row>
    <row r="176" spans="1:70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</row>
    <row r="177" spans="1:70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</row>
  </sheetData>
  <mergeCells count="5">
    <mergeCell ref="AY3:BJ3"/>
    <mergeCell ref="AM3:AX3"/>
    <mergeCell ref="C3:N3"/>
    <mergeCell ref="O3:Z3"/>
    <mergeCell ref="AA3:AL3"/>
  </mergeCells>
  <phoneticPr fontId="4" type="noConversion"/>
  <conditionalFormatting sqref="B10:BJ15 I5:BJ5 C6:BJ9">
    <cfRule type="containsBlanks" dxfId="98" priority="2">
      <formula>LEN(TRIM(B5))=0</formula>
    </cfRule>
  </conditionalFormatting>
  <conditionalFormatting sqref="B20:BJ20">
    <cfRule type="containsBlanks" dxfId="97" priority="1">
      <formula>LEN(TRIM(B20))=0</formula>
    </cfRule>
  </conditionalFormatting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"/>
  <sheetViews>
    <sheetView topLeftCell="C1" workbookViewId="0">
      <selection activeCell="D44" sqref="D44"/>
    </sheetView>
  </sheetViews>
  <sheetFormatPr baseColWidth="10" defaultColWidth="66.6640625" defaultRowHeight="13"/>
  <cols>
    <col min="1" max="1" width="5.5" bestFit="1" customWidth="1"/>
    <col min="2" max="2" width="58.6640625" bestFit="1" customWidth="1"/>
    <col min="3" max="3" width="74.6640625" bestFit="1" customWidth="1"/>
    <col min="4" max="4" width="16.5" customWidth="1"/>
    <col min="5" max="5" width="21.6640625" bestFit="1" customWidth="1"/>
    <col min="6" max="6" width="18.5" customWidth="1"/>
    <col min="7" max="7" width="8.6640625" bestFit="1" customWidth="1"/>
    <col min="8" max="8" width="13.33203125" bestFit="1" customWidth="1"/>
    <col min="9" max="9" width="9.6640625" bestFit="1" customWidth="1"/>
    <col min="10" max="10" width="66.33203125" bestFit="1" customWidth="1"/>
    <col min="11" max="11" width="63.33203125" bestFit="1" customWidth="1"/>
  </cols>
  <sheetData>
    <row r="1" spans="1:11" ht="30">
      <c r="A1" s="275"/>
      <c r="B1" s="311"/>
      <c r="C1" s="311"/>
      <c r="D1" s="311"/>
      <c r="E1" s="311"/>
      <c r="F1" s="311"/>
      <c r="G1" s="311"/>
      <c r="H1" s="311"/>
      <c r="I1" s="311"/>
      <c r="J1" s="311"/>
      <c r="K1" s="275"/>
    </row>
    <row r="3" spans="1:11">
      <c r="F3" s="312"/>
    </row>
    <row r="4" spans="1:11">
      <c r="F4" s="312"/>
    </row>
    <row r="5" spans="1:11">
      <c r="F5" s="312"/>
    </row>
    <row r="6" spans="1:11">
      <c r="F6" s="312"/>
    </row>
    <row r="7" spans="1:11">
      <c r="F7" s="312"/>
    </row>
    <row r="8" spans="1:11">
      <c r="F8" s="312"/>
    </row>
    <row r="9" spans="1:11">
      <c r="F9" s="312"/>
    </row>
    <row r="10" spans="1:11">
      <c r="F10" s="312"/>
    </row>
    <row r="11" spans="1:11">
      <c r="F11" s="312"/>
    </row>
    <row r="12" spans="1:11">
      <c r="F12" s="312"/>
    </row>
    <row r="13" spans="1:11">
      <c r="F13" s="312"/>
    </row>
    <row r="14" spans="1:11">
      <c r="F14" s="312"/>
    </row>
    <row r="15" spans="1:11">
      <c r="F15" s="312"/>
    </row>
    <row r="16" spans="1:11">
      <c r="F16" s="312"/>
    </row>
    <row r="17" spans="3:6">
      <c r="F17" s="312"/>
    </row>
    <row r="18" spans="3:6">
      <c r="C18" s="10"/>
      <c r="D18" s="10"/>
      <c r="F18" s="314"/>
    </row>
    <row r="20" spans="3:6">
      <c r="F20" s="312"/>
    </row>
    <row r="21" spans="3:6">
      <c r="F21" s="312"/>
    </row>
    <row r="22" spans="3:6">
      <c r="F22" s="312"/>
    </row>
    <row r="23" spans="3:6">
      <c r="F23" s="312"/>
    </row>
    <row r="24" spans="3:6" s="276" customFormat="1">
      <c r="F24" s="313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J75"/>
  <sheetViews>
    <sheetView zoomScale="86" zoomScaleNormal="86" workbookViewId="0">
      <pane xSplit="1" topLeftCell="B1" activePane="topRight" state="frozen"/>
      <selection pane="topRight" activeCell="D24" sqref="D24:BJ24"/>
    </sheetView>
  </sheetViews>
  <sheetFormatPr baseColWidth="10" defaultColWidth="8.6640625" defaultRowHeight="13"/>
  <cols>
    <col min="1" max="1" width="54.1640625" customWidth="1"/>
    <col min="2" max="2" width="18.1640625" customWidth="1"/>
    <col min="3" max="3" width="12.1640625" customWidth="1"/>
    <col min="4" max="4" width="12.5" customWidth="1"/>
    <col min="5" max="5" width="13" customWidth="1"/>
    <col min="6" max="6" width="13.6640625" customWidth="1"/>
    <col min="7" max="7" width="14.6640625" customWidth="1"/>
    <col min="8" max="8" width="14.33203125" bestFit="1" customWidth="1"/>
    <col min="9" max="9" width="13.6640625" customWidth="1"/>
    <col min="10" max="22" width="14.33203125" bestFit="1" customWidth="1"/>
    <col min="23" max="23" width="14.1640625" customWidth="1"/>
    <col min="24" max="41" width="15.5" customWidth="1"/>
    <col min="42" max="62" width="15" customWidth="1"/>
  </cols>
  <sheetData>
    <row r="1" spans="1:62" ht="23">
      <c r="A1" s="134" t="s">
        <v>42</v>
      </c>
      <c r="B1" s="102" t="s">
        <v>143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6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</row>
    <row r="3" spans="1:6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</row>
    <row r="4" spans="1:62" ht="9.75" customHeight="1">
      <c r="A4" s="15"/>
      <c r="B4" s="15"/>
      <c r="C4" s="430" t="s">
        <v>30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1" t="s">
        <v>31</v>
      </c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2" t="s">
        <v>32</v>
      </c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28"/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9"/>
      <c r="AZ4" s="429"/>
      <c r="BA4" s="429"/>
      <c r="BB4" s="429"/>
      <c r="BC4" s="429"/>
      <c r="BD4" s="429"/>
      <c r="BE4" s="429"/>
      <c r="BF4" s="429"/>
      <c r="BG4" s="429"/>
      <c r="BH4" s="429"/>
      <c r="BI4" s="429"/>
      <c r="BJ4" s="429"/>
    </row>
    <row r="5" spans="1:62">
      <c r="A5" s="137" t="s">
        <v>43</v>
      </c>
      <c r="B5" s="138" t="s">
        <v>0</v>
      </c>
      <c r="C5" s="56">
        <f>'Інвестиційний план'!C4</f>
        <v>44562</v>
      </c>
      <c r="D5" s="56">
        <f>'Інвестиційний план'!D4</f>
        <v>44593</v>
      </c>
      <c r="E5" s="56">
        <f>'Інвестиційний план'!E4</f>
        <v>44621</v>
      </c>
      <c r="F5" s="56">
        <f>'Інвестиційний план'!F4</f>
        <v>44652</v>
      </c>
      <c r="G5" s="56">
        <f>'Інвестиційний план'!G4</f>
        <v>44682</v>
      </c>
      <c r="H5" s="56">
        <f>'Інвестиційний план'!H4</f>
        <v>44713</v>
      </c>
      <c r="I5" s="56">
        <f>'Інвестиційний план'!I4</f>
        <v>44743</v>
      </c>
      <c r="J5" s="56">
        <f>'Інвестиційний план'!J4</f>
        <v>44774</v>
      </c>
      <c r="K5" s="56">
        <f>'Інвестиційний план'!K4</f>
        <v>44805</v>
      </c>
      <c r="L5" s="56">
        <f>'Інвестиційний план'!L4</f>
        <v>44835</v>
      </c>
      <c r="M5" s="56">
        <f>'Інвестиційний план'!M4</f>
        <v>44866</v>
      </c>
      <c r="N5" s="56">
        <f>'Інвестиційний план'!N4</f>
        <v>44896</v>
      </c>
      <c r="O5" s="56">
        <f>'Інвестиційний план'!O4</f>
        <v>44927</v>
      </c>
      <c r="P5" s="56">
        <f>'Інвестиційний план'!P4</f>
        <v>44958</v>
      </c>
      <c r="Q5" s="56">
        <f>'Інвестиційний план'!Q4</f>
        <v>44986</v>
      </c>
      <c r="R5" s="56">
        <f>'Інвестиційний план'!R4</f>
        <v>45017</v>
      </c>
      <c r="S5" s="56">
        <f>'Інвестиційний план'!S4</f>
        <v>45047</v>
      </c>
      <c r="T5" s="56">
        <f>'Інвестиційний план'!T4</f>
        <v>45078</v>
      </c>
      <c r="U5" s="56">
        <f>'Інвестиційний план'!U4</f>
        <v>45108</v>
      </c>
      <c r="V5" s="56">
        <f>'Інвестиційний план'!V4</f>
        <v>45139</v>
      </c>
      <c r="W5" s="56">
        <f>'Інвестиційний план'!W4</f>
        <v>45170</v>
      </c>
      <c r="X5" s="56">
        <f>'Інвестиційний план'!X4</f>
        <v>45200</v>
      </c>
      <c r="Y5" s="56">
        <f>'Інвестиційний план'!Y4</f>
        <v>45231</v>
      </c>
      <c r="Z5" s="56">
        <f>'Інвестиційний план'!Z4</f>
        <v>45261</v>
      </c>
      <c r="AA5" s="56">
        <f>'Інвестиційний план'!AA4</f>
        <v>45292</v>
      </c>
      <c r="AB5" s="56">
        <f>'Інвестиційний план'!AB4</f>
        <v>45323</v>
      </c>
      <c r="AC5" s="56">
        <f>'Інвестиційний план'!AC4</f>
        <v>45352</v>
      </c>
      <c r="AD5" s="56">
        <f>'Інвестиційний план'!AD4</f>
        <v>45383</v>
      </c>
      <c r="AE5" s="56">
        <f>'Інвестиційний план'!AE4</f>
        <v>45413</v>
      </c>
      <c r="AF5" s="56">
        <f>'Інвестиційний план'!AF4</f>
        <v>45444</v>
      </c>
      <c r="AG5" s="56">
        <f>'Інвестиційний план'!AG4</f>
        <v>45474</v>
      </c>
      <c r="AH5" s="56">
        <f>'Інвестиційний план'!AH4</f>
        <v>45505</v>
      </c>
      <c r="AI5" s="56">
        <f>'Інвестиційний план'!AI4</f>
        <v>45536</v>
      </c>
      <c r="AJ5" s="56">
        <f>'Інвестиційний план'!AJ4</f>
        <v>45566</v>
      </c>
      <c r="AK5" s="56">
        <f>'Інвестиційний план'!AK4</f>
        <v>45597</v>
      </c>
      <c r="AL5" s="56">
        <f>'Інвестиційний план'!AL4</f>
        <v>45627</v>
      </c>
      <c r="AM5" s="56">
        <f>'Інвестиційний план'!AM4</f>
        <v>45658</v>
      </c>
      <c r="AN5" s="56">
        <f>'Інвестиційний план'!AN4</f>
        <v>45689</v>
      </c>
      <c r="AO5" s="56">
        <f>'Інвестиційний план'!AO4</f>
        <v>45717</v>
      </c>
      <c r="AP5" s="56">
        <f>'Інвестиційний план'!AP4</f>
        <v>45748</v>
      </c>
      <c r="AQ5" s="56">
        <f>'Інвестиційний план'!AQ4</f>
        <v>45778</v>
      </c>
      <c r="AR5" s="56">
        <f>'Інвестиційний план'!AR4</f>
        <v>45809</v>
      </c>
      <c r="AS5" s="56">
        <f>'Інвестиційний план'!AS4</f>
        <v>45839</v>
      </c>
      <c r="AT5" s="56">
        <f>'Інвестиційний план'!AT4</f>
        <v>45870</v>
      </c>
      <c r="AU5" s="56">
        <f>'Інвестиційний план'!AU4</f>
        <v>45901</v>
      </c>
      <c r="AV5" s="56">
        <f>'Інвестиційний план'!AV4</f>
        <v>45931</v>
      </c>
      <c r="AW5" s="56">
        <f>'Інвестиційний план'!AW4</f>
        <v>45962</v>
      </c>
      <c r="AX5" s="56">
        <f>'Інвестиційний план'!AX4</f>
        <v>45992</v>
      </c>
      <c r="AY5" s="56">
        <f>'Інвестиційний план'!AY4</f>
        <v>46023</v>
      </c>
      <c r="AZ5" s="56">
        <f>'Інвестиційний план'!AZ4</f>
        <v>46054</v>
      </c>
      <c r="BA5" s="56">
        <f>'Інвестиційний план'!BA4</f>
        <v>46082</v>
      </c>
      <c r="BB5" s="56">
        <f>'Інвестиційний план'!BB4</f>
        <v>46113</v>
      </c>
      <c r="BC5" s="56">
        <f>'Інвестиційний план'!BC4</f>
        <v>46143</v>
      </c>
      <c r="BD5" s="56">
        <f>'Інвестиційний план'!BD4</f>
        <v>46174</v>
      </c>
      <c r="BE5" s="56">
        <f>'Інвестиційний план'!BE4</f>
        <v>46204</v>
      </c>
      <c r="BF5" s="56">
        <f>'Інвестиційний план'!BF4</f>
        <v>46235</v>
      </c>
      <c r="BG5" s="56">
        <f>'Інвестиційний план'!BG4</f>
        <v>46266</v>
      </c>
      <c r="BH5" s="56">
        <f>'Інвестиційний план'!BH4</f>
        <v>46296</v>
      </c>
      <c r="BI5" s="56">
        <f>'Інвестиційний план'!BI4</f>
        <v>46327</v>
      </c>
      <c r="BJ5" s="56">
        <f>'Інвестиційний план'!BJ4</f>
        <v>46357</v>
      </c>
    </row>
    <row r="6" spans="1:62" hidden="1">
      <c r="A6" s="139"/>
      <c r="B6" s="140"/>
      <c r="C6" s="53"/>
      <c r="D6" s="53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</row>
    <row r="7" spans="1:62">
      <c r="A7" s="139" t="str">
        <f>A39</f>
        <v>Производственное оборудование</v>
      </c>
      <c r="B7" s="140">
        <f t="shared" ref="B7" si="0">C7</f>
        <v>0</v>
      </c>
      <c r="C7" s="53">
        <v>0</v>
      </c>
      <c r="D7" s="53">
        <f t="shared" ref="D7:E7" si="1">C28</f>
        <v>0</v>
      </c>
      <c r="E7" s="100">
        <f t="shared" si="1"/>
        <v>0</v>
      </c>
      <c r="F7" s="100">
        <f t="shared" ref="F7" si="2">E28</f>
        <v>0</v>
      </c>
      <c r="G7" s="100">
        <f t="shared" ref="G7" si="3">F28</f>
        <v>562410</v>
      </c>
      <c r="H7" s="100">
        <f t="shared" ref="H7" si="4">G28</f>
        <v>553036.5</v>
      </c>
      <c r="I7" s="100">
        <f t="shared" ref="I7" si="5">H28</f>
        <v>543819.22499999998</v>
      </c>
      <c r="J7" s="100">
        <f t="shared" ref="J7" si="6">I28</f>
        <v>534755.57124999992</v>
      </c>
      <c r="K7" s="100">
        <f t="shared" ref="K7" si="7">J28</f>
        <v>525842.97839583328</v>
      </c>
      <c r="L7" s="100">
        <f t="shared" ref="L7" si="8">K28</f>
        <v>517078.92875590274</v>
      </c>
      <c r="M7" s="100">
        <f t="shared" ref="M7" si="9">L28</f>
        <v>508460.94660997106</v>
      </c>
      <c r="N7" s="100">
        <f t="shared" ref="N7" si="10">M28</f>
        <v>499986.59749980486</v>
      </c>
      <c r="O7" s="100">
        <f t="shared" ref="O7" si="11">N28</f>
        <v>491653.48754147481</v>
      </c>
      <c r="P7" s="100">
        <f t="shared" ref="P7" si="12">O28</f>
        <v>483459.26274911687</v>
      </c>
      <c r="Q7" s="100">
        <f t="shared" ref="Q7" si="13">P28</f>
        <v>475401.60836996493</v>
      </c>
      <c r="R7" s="100">
        <f t="shared" ref="R7" si="14">Q28</f>
        <v>467478.24823046551</v>
      </c>
      <c r="S7" s="100">
        <f t="shared" ref="S7" si="15">R28</f>
        <v>459686.94409329107</v>
      </c>
      <c r="T7" s="100">
        <f t="shared" ref="T7" si="16">S28</f>
        <v>452025.49502506957</v>
      </c>
      <c r="U7" s="100">
        <f t="shared" ref="U7" si="17">T28</f>
        <v>444491.73677465174</v>
      </c>
      <c r="V7" s="100">
        <f t="shared" ref="V7" si="18">U28</f>
        <v>437083.5411617409</v>
      </c>
      <c r="W7" s="100">
        <f t="shared" ref="W7" si="19">V28</f>
        <v>429798.81547571189</v>
      </c>
      <c r="X7" s="100">
        <f t="shared" ref="X7" si="20">W28</f>
        <v>422635.50188445003</v>
      </c>
      <c r="Y7" s="100">
        <f t="shared" ref="Y7" si="21">X28</f>
        <v>415591.57685304253</v>
      </c>
      <c r="Z7" s="100">
        <f t="shared" ref="Z7" si="22">Y28</f>
        <v>408665.05057215848</v>
      </c>
      <c r="AA7" s="100">
        <f t="shared" ref="AA7" si="23">Z28</f>
        <v>401853.96639595582</v>
      </c>
      <c r="AB7" s="100">
        <f t="shared" ref="AB7:AL7" si="24">AA28</f>
        <v>395156.40028935653</v>
      </c>
      <c r="AC7" s="100">
        <f t="shared" si="24"/>
        <v>388570.46028453391</v>
      </c>
      <c r="AD7" s="100">
        <f t="shared" si="24"/>
        <v>382094.28594645835</v>
      </c>
      <c r="AE7" s="100">
        <f t="shared" si="24"/>
        <v>375726.04784735071</v>
      </c>
      <c r="AF7" s="100">
        <f t="shared" si="24"/>
        <v>369463.94704989484</v>
      </c>
      <c r="AG7" s="100">
        <f t="shared" si="24"/>
        <v>363306.21459906327</v>
      </c>
      <c r="AH7" s="100">
        <f t="shared" si="24"/>
        <v>357251.11102241219</v>
      </c>
      <c r="AI7" s="100">
        <f t="shared" si="24"/>
        <v>351296.92583870533</v>
      </c>
      <c r="AJ7" s="100">
        <f t="shared" si="24"/>
        <v>345441.97707472689</v>
      </c>
      <c r="AK7" s="100">
        <f t="shared" si="24"/>
        <v>339684.61079014809</v>
      </c>
      <c r="AL7" s="100">
        <f t="shared" si="24"/>
        <v>334023.20061031228</v>
      </c>
      <c r="AM7" s="100">
        <f t="shared" ref="AM7" si="25">AL28</f>
        <v>328456.14726680709</v>
      </c>
      <c r="AN7" s="100">
        <f t="shared" ref="AN7" si="26">AM28</f>
        <v>322981.87814569363</v>
      </c>
      <c r="AO7" s="100">
        <f t="shared" ref="AO7" si="27">AN28</f>
        <v>317598.8468432654</v>
      </c>
      <c r="AP7" s="100">
        <f t="shared" ref="AP7" si="28">AO28</f>
        <v>312305.53272921097</v>
      </c>
      <c r="AQ7" s="100">
        <f t="shared" ref="AQ7" si="29">AP28</f>
        <v>307100.44051705743</v>
      </c>
      <c r="AR7" s="100">
        <f t="shared" ref="AR7" si="30">AQ28</f>
        <v>301982.09984177316</v>
      </c>
      <c r="AS7" s="100">
        <f t="shared" ref="AS7" si="31">AR28</f>
        <v>296949.06484441028</v>
      </c>
      <c r="AT7" s="100">
        <f t="shared" ref="AT7" si="32">AS28</f>
        <v>291999.91376367013</v>
      </c>
      <c r="AU7" s="100">
        <f t="shared" ref="AU7" si="33">AT28</f>
        <v>287133.24853427563</v>
      </c>
      <c r="AV7" s="100">
        <f t="shared" ref="AV7" si="34">AU28</f>
        <v>282347.69439203769</v>
      </c>
      <c r="AW7" s="100">
        <f t="shared" ref="AW7" si="35">AV28</f>
        <v>277641.89948550373</v>
      </c>
      <c r="AX7" s="100">
        <f t="shared" ref="AX7" si="36">AW28</f>
        <v>273014.53449407866</v>
      </c>
      <c r="AY7" s="100">
        <f t="shared" ref="AY7" si="37">AX28</f>
        <v>268464.29225251067</v>
      </c>
      <c r="AZ7" s="100">
        <f t="shared" ref="AZ7" si="38">AY28</f>
        <v>263989.88738163549</v>
      </c>
      <c r="BA7" s="100">
        <f t="shared" ref="BA7" si="39">AZ28</f>
        <v>259590.05592527491</v>
      </c>
      <c r="BB7" s="100">
        <f t="shared" ref="BB7" si="40">BA28</f>
        <v>255263.55499318699</v>
      </c>
      <c r="BC7" s="100">
        <f t="shared" ref="BC7" si="41">BB28</f>
        <v>251009.16240996722</v>
      </c>
      <c r="BD7" s="100">
        <f t="shared" ref="BD7" si="42">BC28</f>
        <v>246825.67636980111</v>
      </c>
      <c r="BE7" s="100">
        <f t="shared" ref="BE7" si="43">BD28</f>
        <v>242711.91509697109</v>
      </c>
      <c r="BF7" s="100">
        <f t="shared" ref="BF7" si="44">BE28</f>
        <v>238666.71651202158</v>
      </c>
      <c r="BG7" s="100">
        <f t="shared" ref="BG7" si="45">BF28</f>
        <v>234688.93790348788</v>
      </c>
      <c r="BH7" s="100">
        <f t="shared" ref="BH7" si="46">BG28</f>
        <v>230777.45560509642</v>
      </c>
      <c r="BI7" s="100">
        <f t="shared" ref="BI7" si="47">BH28</f>
        <v>226931.16467834482</v>
      </c>
      <c r="BJ7" s="100">
        <f t="shared" ref="BJ7" si="48">BI28</f>
        <v>223148.97860037241</v>
      </c>
    </row>
    <row r="8" spans="1:62" hidden="1">
      <c r="A8" s="139"/>
      <c r="B8" s="140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</row>
    <row r="9" spans="1:62">
      <c r="A9" s="137" t="s">
        <v>1</v>
      </c>
      <c r="B9" s="57">
        <f t="shared" ref="B9:AG9" si="49">SUM(B6:B8)</f>
        <v>0</v>
      </c>
      <c r="C9" s="57">
        <f t="shared" si="49"/>
        <v>0</v>
      </c>
      <c r="D9" s="57">
        <f t="shared" si="49"/>
        <v>0</v>
      </c>
      <c r="E9" s="57">
        <f t="shared" si="49"/>
        <v>0</v>
      </c>
      <c r="F9" s="57">
        <f t="shared" si="49"/>
        <v>0</v>
      </c>
      <c r="G9" s="57">
        <f t="shared" si="49"/>
        <v>562410</v>
      </c>
      <c r="H9" s="57">
        <f t="shared" si="49"/>
        <v>553036.5</v>
      </c>
      <c r="I9" s="57">
        <f t="shared" si="49"/>
        <v>543819.22499999998</v>
      </c>
      <c r="J9" s="57">
        <f t="shared" si="49"/>
        <v>534755.57124999992</v>
      </c>
      <c r="K9" s="57">
        <f t="shared" si="49"/>
        <v>525842.97839583328</v>
      </c>
      <c r="L9" s="57">
        <f t="shared" si="49"/>
        <v>517078.92875590274</v>
      </c>
      <c r="M9" s="57">
        <f t="shared" si="49"/>
        <v>508460.94660997106</v>
      </c>
      <c r="N9" s="57">
        <f t="shared" si="49"/>
        <v>499986.59749980486</v>
      </c>
      <c r="O9" s="57">
        <f t="shared" si="49"/>
        <v>491653.48754147481</v>
      </c>
      <c r="P9" s="57">
        <f t="shared" si="49"/>
        <v>483459.26274911687</v>
      </c>
      <c r="Q9" s="57">
        <f t="shared" si="49"/>
        <v>475401.60836996493</v>
      </c>
      <c r="R9" s="57">
        <f t="shared" si="49"/>
        <v>467478.24823046551</v>
      </c>
      <c r="S9" s="57">
        <f t="shared" si="49"/>
        <v>459686.94409329107</v>
      </c>
      <c r="T9" s="57">
        <f t="shared" si="49"/>
        <v>452025.49502506957</v>
      </c>
      <c r="U9" s="57">
        <f t="shared" si="49"/>
        <v>444491.73677465174</v>
      </c>
      <c r="V9" s="57">
        <f t="shared" si="49"/>
        <v>437083.5411617409</v>
      </c>
      <c r="W9" s="57">
        <f t="shared" si="49"/>
        <v>429798.81547571189</v>
      </c>
      <c r="X9" s="57">
        <f t="shared" si="49"/>
        <v>422635.50188445003</v>
      </c>
      <c r="Y9" s="57">
        <f t="shared" si="49"/>
        <v>415591.57685304253</v>
      </c>
      <c r="Z9" s="57">
        <f t="shared" si="49"/>
        <v>408665.05057215848</v>
      </c>
      <c r="AA9" s="57">
        <f t="shared" si="49"/>
        <v>401853.96639595582</v>
      </c>
      <c r="AB9" s="57">
        <f t="shared" si="49"/>
        <v>395156.40028935653</v>
      </c>
      <c r="AC9" s="57">
        <f t="shared" si="49"/>
        <v>388570.46028453391</v>
      </c>
      <c r="AD9" s="57">
        <f t="shared" si="49"/>
        <v>382094.28594645835</v>
      </c>
      <c r="AE9" s="57">
        <f t="shared" si="49"/>
        <v>375726.04784735071</v>
      </c>
      <c r="AF9" s="57">
        <f t="shared" si="49"/>
        <v>369463.94704989484</v>
      </c>
      <c r="AG9" s="57">
        <f t="shared" si="49"/>
        <v>363306.21459906327</v>
      </c>
      <c r="AH9" s="57">
        <f t="shared" ref="AH9:AL9" si="50">SUM(AH6:AH8)</f>
        <v>357251.11102241219</v>
      </c>
      <c r="AI9" s="57">
        <f t="shared" si="50"/>
        <v>351296.92583870533</v>
      </c>
      <c r="AJ9" s="57">
        <f t="shared" si="50"/>
        <v>345441.97707472689</v>
      </c>
      <c r="AK9" s="57">
        <f t="shared" si="50"/>
        <v>339684.61079014809</v>
      </c>
      <c r="AL9" s="57">
        <f t="shared" si="50"/>
        <v>334023.20061031228</v>
      </c>
      <c r="AM9" s="57">
        <f t="shared" ref="AM9:BJ9" si="51">SUM(AM6:AM8)</f>
        <v>328456.14726680709</v>
      </c>
      <c r="AN9" s="57">
        <f t="shared" si="51"/>
        <v>322981.87814569363</v>
      </c>
      <c r="AO9" s="57">
        <f t="shared" si="51"/>
        <v>317598.8468432654</v>
      </c>
      <c r="AP9" s="57">
        <f t="shared" si="51"/>
        <v>312305.53272921097</v>
      </c>
      <c r="AQ9" s="57">
        <f t="shared" si="51"/>
        <v>307100.44051705743</v>
      </c>
      <c r="AR9" s="57">
        <f t="shared" si="51"/>
        <v>301982.09984177316</v>
      </c>
      <c r="AS9" s="57">
        <f t="shared" si="51"/>
        <v>296949.06484441028</v>
      </c>
      <c r="AT9" s="57">
        <f t="shared" si="51"/>
        <v>291999.91376367013</v>
      </c>
      <c r="AU9" s="57">
        <f t="shared" si="51"/>
        <v>287133.24853427563</v>
      </c>
      <c r="AV9" s="57">
        <f t="shared" si="51"/>
        <v>282347.69439203769</v>
      </c>
      <c r="AW9" s="57">
        <f t="shared" si="51"/>
        <v>277641.89948550373</v>
      </c>
      <c r="AX9" s="57">
        <f t="shared" si="51"/>
        <v>273014.53449407866</v>
      </c>
      <c r="AY9" s="57">
        <f t="shared" si="51"/>
        <v>268464.29225251067</v>
      </c>
      <c r="AZ9" s="57">
        <f t="shared" si="51"/>
        <v>263989.88738163549</v>
      </c>
      <c r="BA9" s="57">
        <f t="shared" si="51"/>
        <v>259590.05592527491</v>
      </c>
      <c r="BB9" s="57">
        <f t="shared" si="51"/>
        <v>255263.55499318699</v>
      </c>
      <c r="BC9" s="57">
        <f t="shared" si="51"/>
        <v>251009.16240996722</v>
      </c>
      <c r="BD9" s="57">
        <f t="shared" si="51"/>
        <v>246825.67636980111</v>
      </c>
      <c r="BE9" s="57">
        <f t="shared" si="51"/>
        <v>242711.91509697109</v>
      </c>
      <c r="BF9" s="57">
        <f t="shared" si="51"/>
        <v>238666.71651202158</v>
      </c>
      <c r="BG9" s="57">
        <f t="shared" si="51"/>
        <v>234688.93790348788</v>
      </c>
      <c r="BH9" s="57">
        <f t="shared" si="51"/>
        <v>230777.45560509642</v>
      </c>
      <c r="BI9" s="57">
        <f t="shared" si="51"/>
        <v>226931.16467834482</v>
      </c>
      <c r="BJ9" s="57">
        <f t="shared" si="51"/>
        <v>223148.97860037241</v>
      </c>
    </row>
    <row r="10" spans="1:62">
      <c r="A10" s="141"/>
      <c r="B10" s="14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</row>
    <row r="11" spans="1:62">
      <c r="A11" s="142"/>
      <c r="B11" s="14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</row>
    <row r="12" spans="1:62">
      <c r="A12" s="137" t="s">
        <v>44</v>
      </c>
      <c r="B12" s="56" t="str">
        <f t="shared" ref="B12:AG12" si="52">B5</f>
        <v>Итого</v>
      </c>
      <c r="C12" s="56">
        <f t="shared" si="52"/>
        <v>44562</v>
      </c>
      <c r="D12" s="56">
        <f t="shared" si="52"/>
        <v>44593</v>
      </c>
      <c r="E12" s="56">
        <f t="shared" si="52"/>
        <v>44621</v>
      </c>
      <c r="F12" s="56">
        <f t="shared" si="52"/>
        <v>44652</v>
      </c>
      <c r="G12" s="56">
        <f t="shared" si="52"/>
        <v>44682</v>
      </c>
      <c r="H12" s="56">
        <f t="shared" si="52"/>
        <v>44713</v>
      </c>
      <c r="I12" s="56">
        <f t="shared" si="52"/>
        <v>44743</v>
      </c>
      <c r="J12" s="56">
        <f t="shared" si="52"/>
        <v>44774</v>
      </c>
      <c r="K12" s="56">
        <f t="shared" si="52"/>
        <v>44805</v>
      </c>
      <c r="L12" s="56">
        <f t="shared" si="52"/>
        <v>44835</v>
      </c>
      <c r="M12" s="56">
        <f t="shared" si="52"/>
        <v>44866</v>
      </c>
      <c r="N12" s="56">
        <f t="shared" si="52"/>
        <v>44896</v>
      </c>
      <c r="O12" s="56">
        <f t="shared" si="52"/>
        <v>44927</v>
      </c>
      <c r="P12" s="56">
        <f t="shared" si="52"/>
        <v>44958</v>
      </c>
      <c r="Q12" s="56">
        <f t="shared" si="52"/>
        <v>44986</v>
      </c>
      <c r="R12" s="56">
        <f t="shared" si="52"/>
        <v>45017</v>
      </c>
      <c r="S12" s="56">
        <f t="shared" si="52"/>
        <v>45047</v>
      </c>
      <c r="T12" s="56">
        <f t="shared" si="52"/>
        <v>45078</v>
      </c>
      <c r="U12" s="56">
        <f t="shared" si="52"/>
        <v>45108</v>
      </c>
      <c r="V12" s="56">
        <f t="shared" si="52"/>
        <v>45139</v>
      </c>
      <c r="W12" s="56">
        <f t="shared" si="52"/>
        <v>45170</v>
      </c>
      <c r="X12" s="56">
        <f t="shared" si="52"/>
        <v>45200</v>
      </c>
      <c r="Y12" s="56">
        <f t="shared" si="52"/>
        <v>45231</v>
      </c>
      <c r="Z12" s="56">
        <f t="shared" si="52"/>
        <v>45261</v>
      </c>
      <c r="AA12" s="56">
        <f t="shared" si="52"/>
        <v>45292</v>
      </c>
      <c r="AB12" s="56">
        <f t="shared" si="52"/>
        <v>45323</v>
      </c>
      <c r="AC12" s="56">
        <f t="shared" si="52"/>
        <v>45352</v>
      </c>
      <c r="AD12" s="56">
        <f t="shared" si="52"/>
        <v>45383</v>
      </c>
      <c r="AE12" s="56">
        <f t="shared" si="52"/>
        <v>45413</v>
      </c>
      <c r="AF12" s="56">
        <f t="shared" si="52"/>
        <v>45444</v>
      </c>
      <c r="AG12" s="56">
        <f t="shared" si="52"/>
        <v>45474</v>
      </c>
      <c r="AH12" s="56">
        <f t="shared" ref="AH12:AL12" si="53">AH5</f>
        <v>45505</v>
      </c>
      <c r="AI12" s="56">
        <f t="shared" si="53"/>
        <v>45536</v>
      </c>
      <c r="AJ12" s="56">
        <f t="shared" si="53"/>
        <v>45566</v>
      </c>
      <c r="AK12" s="56">
        <f t="shared" si="53"/>
        <v>45597</v>
      </c>
      <c r="AL12" s="56">
        <f t="shared" si="53"/>
        <v>45627</v>
      </c>
      <c r="AM12" s="56">
        <f t="shared" ref="AM12:BJ12" si="54">AM5</f>
        <v>45658</v>
      </c>
      <c r="AN12" s="56">
        <f t="shared" si="54"/>
        <v>45689</v>
      </c>
      <c r="AO12" s="56">
        <f t="shared" si="54"/>
        <v>45717</v>
      </c>
      <c r="AP12" s="56">
        <f t="shared" si="54"/>
        <v>45748</v>
      </c>
      <c r="AQ12" s="56">
        <f t="shared" si="54"/>
        <v>45778</v>
      </c>
      <c r="AR12" s="56">
        <f t="shared" si="54"/>
        <v>45809</v>
      </c>
      <c r="AS12" s="56">
        <f t="shared" si="54"/>
        <v>45839</v>
      </c>
      <c r="AT12" s="56">
        <f t="shared" si="54"/>
        <v>45870</v>
      </c>
      <c r="AU12" s="56">
        <f t="shared" si="54"/>
        <v>45901</v>
      </c>
      <c r="AV12" s="56">
        <f t="shared" si="54"/>
        <v>45931</v>
      </c>
      <c r="AW12" s="56">
        <f t="shared" si="54"/>
        <v>45962</v>
      </c>
      <c r="AX12" s="56">
        <f t="shared" si="54"/>
        <v>45992</v>
      </c>
      <c r="AY12" s="56">
        <f t="shared" si="54"/>
        <v>46023</v>
      </c>
      <c r="AZ12" s="56">
        <f t="shared" si="54"/>
        <v>46054</v>
      </c>
      <c r="BA12" s="56">
        <f t="shared" si="54"/>
        <v>46082</v>
      </c>
      <c r="BB12" s="56">
        <f t="shared" si="54"/>
        <v>46113</v>
      </c>
      <c r="BC12" s="56">
        <f t="shared" si="54"/>
        <v>46143</v>
      </c>
      <c r="BD12" s="56">
        <f t="shared" si="54"/>
        <v>46174</v>
      </c>
      <c r="BE12" s="56">
        <f t="shared" si="54"/>
        <v>46204</v>
      </c>
      <c r="BF12" s="56">
        <f t="shared" si="54"/>
        <v>46235</v>
      </c>
      <c r="BG12" s="56">
        <f t="shared" si="54"/>
        <v>46266</v>
      </c>
      <c r="BH12" s="56">
        <f t="shared" si="54"/>
        <v>46296</v>
      </c>
      <c r="BI12" s="56">
        <f t="shared" si="54"/>
        <v>46327</v>
      </c>
      <c r="BJ12" s="56">
        <f t="shared" si="54"/>
        <v>46357</v>
      </c>
    </row>
    <row r="13" spans="1:62" hidden="1">
      <c r="A13" s="139"/>
      <c r="B13" s="14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</row>
    <row r="14" spans="1:62">
      <c r="A14" s="139" t="str">
        <f>A7</f>
        <v>Производственное оборудование</v>
      </c>
      <c r="B14" s="140">
        <f t="shared" ref="B14" si="55">SUM(C14:BJ14)</f>
        <v>342980.17104296712</v>
      </c>
      <c r="C14" s="100">
        <f>B$28/$B$40/12</f>
        <v>0</v>
      </c>
      <c r="D14" s="100">
        <f>C$28/$B$40/12</f>
        <v>0</v>
      </c>
      <c r="E14" s="100">
        <f>D$28/$B$40/12</f>
        <v>0</v>
      </c>
      <c r="F14" s="100">
        <f t="shared" ref="F14:AL14" si="56">E$28/$B$40/12</f>
        <v>0</v>
      </c>
      <c r="G14" s="100">
        <f>F$28/$B$40/12</f>
        <v>9373.5</v>
      </c>
      <c r="H14" s="100">
        <f t="shared" si="56"/>
        <v>9217.2749999999996</v>
      </c>
      <c r="I14" s="100">
        <f t="shared" si="56"/>
        <v>9063.6537499999995</v>
      </c>
      <c r="J14" s="100">
        <f t="shared" si="56"/>
        <v>8912.5928541666653</v>
      </c>
      <c r="K14" s="100">
        <f t="shared" si="56"/>
        <v>8764.0496399305539</v>
      </c>
      <c r="L14" s="100">
        <f>K$28/$B$40/12</f>
        <v>8617.9821459317118</v>
      </c>
      <c r="M14" s="100">
        <f t="shared" si="56"/>
        <v>8474.3491101661839</v>
      </c>
      <c r="N14" s="100">
        <f t="shared" si="56"/>
        <v>8333.1099583300802</v>
      </c>
      <c r="O14" s="100">
        <f t="shared" si="56"/>
        <v>8194.2247923579143</v>
      </c>
      <c r="P14" s="100">
        <f t="shared" si="56"/>
        <v>8057.654379151948</v>
      </c>
      <c r="Q14" s="100">
        <f t="shared" si="56"/>
        <v>7923.3601394994157</v>
      </c>
      <c r="R14" s="100">
        <f t="shared" si="56"/>
        <v>7791.3041371744257</v>
      </c>
      <c r="S14" s="100">
        <f t="shared" si="56"/>
        <v>7661.4490682215182</v>
      </c>
      <c r="T14" s="100">
        <f t="shared" si="56"/>
        <v>7533.7582504178254</v>
      </c>
      <c r="U14" s="100">
        <f t="shared" si="56"/>
        <v>7408.1956129108621</v>
      </c>
      <c r="V14" s="100">
        <f t="shared" si="56"/>
        <v>7284.7256860290145</v>
      </c>
      <c r="W14" s="100">
        <f t="shared" si="56"/>
        <v>7163.3135912618645</v>
      </c>
      <c r="X14" s="100">
        <f t="shared" si="56"/>
        <v>7043.9250314075007</v>
      </c>
      <c r="Y14" s="100">
        <f t="shared" si="56"/>
        <v>6926.5262808840416</v>
      </c>
      <c r="Z14" s="100">
        <f t="shared" si="56"/>
        <v>6811.0841762026421</v>
      </c>
      <c r="AA14" s="100">
        <f t="shared" si="56"/>
        <v>6697.5661065992635</v>
      </c>
      <c r="AB14" s="100">
        <f t="shared" si="56"/>
        <v>6585.9400048226089</v>
      </c>
      <c r="AC14" s="100">
        <f t="shared" si="56"/>
        <v>6476.1743380755652</v>
      </c>
      <c r="AD14" s="100">
        <f t="shared" si="56"/>
        <v>6368.2380991076388</v>
      </c>
      <c r="AE14" s="100">
        <f t="shared" si="56"/>
        <v>6262.1007974558452</v>
      </c>
      <c r="AF14" s="100">
        <f t="shared" si="56"/>
        <v>6157.7324508315805</v>
      </c>
      <c r="AG14" s="100">
        <f t="shared" si="56"/>
        <v>6055.103576651054</v>
      </c>
      <c r="AH14" s="100">
        <f t="shared" si="56"/>
        <v>5954.1851837068707</v>
      </c>
      <c r="AI14" s="100">
        <f t="shared" si="56"/>
        <v>5854.9487639784229</v>
      </c>
      <c r="AJ14" s="100">
        <f t="shared" si="56"/>
        <v>5757.3662845787812</v>
      </c>
      <c r="AK14" s="100">
        <f t="shared" si="56"/>
        <v>5661.4101798358015</v>
      </c>
      <c r="AL14" s="100">
        <f t="shared" si="56"/>
        <v>5567.0533435052048</v>
      </c>
      <c r="AM14" s="100">
        <f t="shared" ref="AM14" si="57">AL$28/$B$40/12</f>
        <v>5474.2691211134515</v>
      </c>
      <c r="AN14" s="100">
        <f t="shared" ref="AN14" si="58">AM$28/$B$40/12</f>
        <v>5383.0313024282268</v>
      </c>
      <c r="AO14" s="100">
        <f t="shared" ref="AO14" si="59">AN$28/$B$40/12</f>
        <v>5293.314114054424</v>
      </c>
      <c r="AP14" s="100">
        <f t="shared" ref="AP14" si="60">AO$28/$B$40/12</f>
        <v>5205.0922121535159</v>
      </c>
      <c r="AQ14" s="100">
        <f t="shared" ref="AQ14" si="61">AP$28/$B$40/12</f>
        <v>5118.3406752842902</v>
      </c>
      <c r="AR14" s="100">
        <f t="shared" ref="AR14" si="62">AQ$28/$B$40/12</f>
        <v>5033.0349973628863</v>
      </c>
      <c r="AS14" s="100">
        <f t="shared" ref="AS14" si="63">AR$28/$B$40/12</f>
        <v>4949.151080740171</v>
      </c>
      <c r="AT14" s="100">
        <f t="shared" ref="AT14" si="64">AS$28/$B$40/12</f>
        <v>4866.6652293945017</v>
      </c>
      <c r="AU14" s="100">
        <f t="shared" ref="AU14" si="65">AT$28/$B$40/12</f>
        <v>4785.5541422379274</v>
      </c>
      <c r="AV14" s="100">
        <f t="shared" ref="AV14" si="66">AU$28/$B$40/12</f>
        <v>4705.7949065339617</v>
      </c>
      <c r="AW14" s="100">
        <f t="shared" ref="AW14" si="67">AV$28/$B$40/12</f>
        <v>4627.3649914250627</v>
      </c>
      <c r="AX14" s="100">
        <f t="shared" ref="AX14" si="68">AW$28/$B$40/12</f>
        <v>4550.2422415679775</v>
      </c>
      <c r="AY14" s="100">
        <f t="shared" ref="AY14" si="69">AX$28/$B$40/12</f>
        <v>4474.4048708751779</v>
      </c>
      <c r="AZ14" s="100">
        <f t="shared" ref="AZ14" si="70">AY$28/$B$40/12</f>
        <v>4399.8314563605918</v>
      </c>
      <c r="BA14" s="100">
        <f t="shared" ref="BA14" si="71">AZ$28/$B$40/12</f>
        <v>4326.5009320879153</v>
      </c>
      <c r="BB14" s="100">
        <f t="shared" ref="BB14" si="72">BA$28/$B$40/12</f>
        <v>4254.3925832197829</v>
      </c>
      <c r="BC14" s="100">
        <f t="shared" ref="BC14" si="73">BB$28/$B$40/12</f>
        <v>4183.4860401661199</v>
      </c>
      <c r="BD14" s="100">
        <f t="shared" ref="BD14" si="74">BC$28/$B$40/12</f>
        <v>4113.7612728300182</v>
      </c>
      <c r="BE14" s="100">
        <f t="shared" ref="BE14" si="75">BD$28/$B$40/12</f>
        <v>4045.1985849495181</v>
      </c>
      <c r="BF14" s="100">
        <f t="shared" ref="BF14" si="76">BE$28/$B$40/12</f>
        <v>3977.7786085336934</v>
      </c>
      <c r="BG14" s="100">
        <f t="shared" ref="BG14" si="77">BF$28/$B$40/12</f>
        <v>3911.4822983914651</v>
      </c>
      <c r="BH14" s="100">
        <f t="shared" ref="BH14" si="78">BG$28/$B$40/12</f>
        <v>3846.2909267516065</v>
      </c>
      <c r="BI14" s="100">
        <f t="shared" ref="BI14" si="79">BH$28/$B$40/12</f>
        <v>3782.1860779724138</v>
      </c>
      <c r="BJ14" s="100">
        <f t="shared" ref="BJ14" si="80">BI$28/$B$40/12</f>
        <v>3719.1496433395405</v>
      </c>
    </row>
    <row r="15" spans="1:62" hidden="1">
      <c r="A15" s="139"/>
      <c r="B15" s="140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</row>
    <row r="16" spans="1:62">
      <c r="A16" s="55" t="s">
        <v>1</v>
      </c>
      <c r="B16" s="57">
        <f t="shared" ref="B16:AG16" si="81">SUM(B13:B15)</f>
        <v>342980.17104296712</v>
      </c>
      <c r="C16" s="57">
        <f t="shared" si="81"/>
        <v>0</v>
      </c>
      <c r="D16" s="57">
        <f t="shared" si="81"/>
        <v>0</v>
      </c>
      <c r="E16" s="57">
        <f t="shared" si="81"/>
        <v>0</v>
      </c>
      <c r="F16" s="57">
        <f t="shared" si="81"/>
        <v>0</v>
      </c>
      <c r="G16" s="57">
        <f t="shared" si="81"/>
        <v>9373.5</v>
      </c>
      <c r="H16" s="57">
        <f t="shared" si="81"/>
        <v>9217.2749999999996</v>
      </c>
      <c r="I16" s="57">
        <f t="shared" si="81"/>
        <v>9063.6537499999995</v>
      </c>
      <c r="J16" s="57">
        <f t="shared" si="81"/>
        <v>8912.5928541666653</v>
      </c>
      <c r="K16" s="57">
        <f t="shared" si="81"/>
        <v>8764.0496399305539</v>
      </c>
      <c r="L16" s="57">
        <f t="shared" si="81"/>
        <v>8617.9821459317118</v>
      </c>
      <c r="M16" s="57">
        <f t="shared" si="81"/>
        <v>8474.3491101661839</v>
      </c>
      <c r="N16" s="57">
        <f t="shared" si="81"/>
        <v>8333.1099583300802</v>
      </c>
      <c r="O16" s="57">
        <f t="shared" si="81"/>
        <v>8194.2247923579143</v>
      </c>
      <c r="P16" s="57">
        <f t="shared" si="81"/>
        <v>8057.654379151948</v>
      </c>
      <c r="Q16" s="57">
        <f t="shared" si="81"/>
        <v>7923.3601394994157</v>
      </c>
      <c r="R16" s="57">
        <f t="shared" si="81"/>
        <v>7791.3041371744257</v>
      </c>
      <c r="S16" s="57">
        <f t="shared" si="81"/>
        <v>7661.4490682215182</v>
      </c>
      <c r="T16" s="57">
        <f t="shared" si="81"/>
        <v>7533.7582504178254</v>
      </c>
      <c r="U16" s="57">
        <f t="shared" si="81"/>
        <v>7408.1956129108621</v>
      </c>
      <c r="V16" s="57">
        <f t="shared" si="81"/>
        <v>7284.7256860290145</v>
      </c>
      <c r="W16" s="57">
        <f t="shared" si="81"/>
        <v>7163.3135912618645</v>
      </c>
      <c r="X16" s="57">
        <f t="shared" si="81"/>
        <v>7043.9250314075007</v>
      </c>
      <c r="Y16" s="57">
        <f t="shared" si="81"/>
        <v>6926.5262808840416</v>
      </c>
      <c r="Z16" s="57">
        <f t="shared" si="81"/>
        <v>6811.0841762026421</v>
      </c>
      <c r="AA16" s="57">
        <f t="shared" si="81"/>
        <v>6697.5661065992635</v>
      </c>
      <c r="AB16" s="57">
        <f t="shared" si="81"/>
        <v>6585.9400048226089</v>
      </c>
      <c r="AC16" s="57">
        <f t="shared" si="81"/>
        <v>6476.1743380755652</v>
      </c>
      <c r="AD16" s="57">
        <f t="shared" si="81"/>
        <v>6368.2380991076388</v>
      </c>
      <c r="AE16" s="57">
        <f t="shared" si="81"/>
        <v>6262.1007974558452</v>
      </c>
      <c r="AF16" s="57">
        <f t="shared" si="81"/>
        <v>6157.7324508315805</v>
      </c>
      <c r="AG16" s="57">
        <f t="shared" si="81"/>
        <v>6055.103576651054</v>
      </c>
      <c r="AH16" s="57">
        <f t="shared" ref="AH16:AL16" si="82">SUM(AH13:AH15)</f>
        <v>5954.1851837068707</v>
      </c>
      <c r="AI16" s="57">
        <f t="shared" si="82"/>
        <v>5854.9487639784229</v>
      </c>
      <c r="AJ16" s="57">
        <f t="shared" si="82"/>
        <v>5757.3662845787812</v>
      </c>
      <c r="AK16" s="57">
        <f t="shared" si="82"/>
        <v>5661.4101798358015</v>
      </c>
      <c r="AL16" s="57">
        <f t="shared" si="82"/>
        <v>5567.0533435052048</v>
      </c>
      <c r="AM16" s="57">
        <f t="shared" ref="AM16:BJ16" si="83">SUM(AM13:AM15)</f>
        <v>5474.2691211134515</v>
      </c>
      <c r="AN16" s="57">
        <f t="shared" si="83"/>
        <v>5383.0313024282268</v>
      </c>
      <c r="AO16" s="57">
        <f t="shared" si="83"/>
        <v>5293.314114054424</v>
      </c>
      <c r="AP16" s="57">
        <f t="shared" si="83"/>
        <v>5205.0922121535159</v>
      </c>
      <c r="AQ16" s="57">
        <f t="shared" si="83"/>
        <v>5118.3406752842902</v>
      </c>
      <c r="AR16" s="57">
        <f t="shared" si="83"/>
        <v>5033.0349973628863</v>
      </c>
      <c r="AS16" s="57">
        <f t="shared" si="83"/>
        <v>4949.151080740171</v>
      </c>
      <c r="AT16" s="57">
        <f t="shared" si="83"/>
        <v>4866.6652293945017</v>
      </c>
      <c r="AU16" s="57">
        <f t="shared" si="83"/>
        <v>4785.5541422379274</v>
      </c>
      <c r="AV16" s="57">
        <f t="shared" si="83"/>
        <v>4705.7949065339617</v>
      </c>
      <c r="AW16" s="57">
        <f t="shared" si="83"/>
        <v>4627.3649914250627</v>
      </c>
      <c r="AX16" s="57">
        <f t="shared" si="83"/>
        <v>4550.2422415679775</v>
      </c>
      <c r="AY16" s="57">
        <f t="shared" si="83"/>
        <v>4474.4048708751779</v>
      </c>
      <c r="AZ16" s="57">
        <f t="shared" si="83"/>
        <v>4399.8314563605918</v>
      </c>
      <c r="BA16" s="57">
        <f t="shared" si="83"/>
        <v>4326.5009320879153</v>
      </c>
      <c r="BB16" s="57">
        <f t="shared" si="83"/>
        <v>4254.3925832197829</v>
      </c>
      <c r="BC16" s="57">
        <f t="shared" si="83"/>
        <v>4183.4860401661199</v>
      </c>
      <c r="BD16" s="57">
        <f t="shared" si="83"/>
        <v>4113.7612728300182</v>
      </c>
      <c r="BE16" s="57">
        <f t="shared" si="83"/>
        <v>4045.1985849495181</v>
      </c>
      <c r="BF16" s="57">
        <f t="shared" si="83"/>
        <v>3977.7786085336934</v>
      </c>
      <c r="BG16" s="57">
        <f t="shared" si="83"/>
        <v>3911.4822983914651</v>
      </c>
      <c r="BH16" s="57">
        <f t="shared" si="83"/>
        <v>3846.2909267516065</v>
      </c>
      <c r="BI16" s="57">
        <f t="shared" si="83"/>
        <v>3782.1860779724138</v>
      </c>
      <c r="BJ16" s="57">
        <f t="shared" si="83"/>
        <v>3719.1496433395405</v>
      </c>
    </row>
    <row r="17" spans="1:62">
      <c r="A17" s="15"/>
      <c r="B17" s="15"/>
      <c r="C17" s="15"/>
      <c r="D17" s="15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</row>
    <row r="18" spans="1:62">
      <c r="A18" s="15"/>
      <c r="B18" s="15"/>
      <c r="C18" s="15"/>
      <c r="D18" s="15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</row>
    <row r="19" spans="1:62">
      <c r="A19" s="143" t="s">
        <v>45</v>
      </c>
      <c r="B19" s="46" t="str">
        <f t="shared" ref="B19:AG19" si="84">B5</f>
        <v>Итого</v>
      </c>
      <c r="C19" s="46">
        <f t="shared" si="84"/>
        <v>44562</v>
      </c>
      <c r="D19" s="46">
        <f t="shared" si="84"/>
        <v>44593</v>
      </c>
      <c r="E19" s="46">
        <f t="shared" si="84"/>
        <v>44621</v>
      </c>
      <c r="F19" s="46">
        <f t="shared" si="84"/>
        <v>44652</v>
      </c>
      <c r="G19" s="46">
        <f t="shared" si="84"/>
        <v>44682</v>
      </c>
      <c r="H19" s="46">
        <f t="shared" si="84"/>
        <v>44713</v>
      </c>
      <c r="I19" s="46">
        <f t="shared" si="84"/>
        <v>44743</v>
      </c>
      <c r="J19" s="46">
        <f t="shared" si="84"/>
        <v>44774</v>
      </c>
      <c r="K19" s="46">
        <f t="shared" si="84"/>
        <v>44805</v>
      </c>
      <c r="L19" s="46">
        <f t="shared" si="84"/>
        <v>44835</v>
      </c>
      <c r="M19" s="46">
        <f t="shared" si="84"/>
        <v>44866</v>
      </c>
      <c r="N19" s="46">
        <f t="shared" si="84"/>
        <v>44896</v>
      </c>
      <c r="O19" s="46">
        <f t="shared" si="84"/>
        <v>44927</v>
      </c>
      <c r="P19" s="46">
        <f t="shared" si="84"/>
        <v>44958</v>
      </c>
      <c r="Q19" s="46">
        <f t="shared" si="84"/>
        <v>44986</v>
      </c>
      <c r="R19" s="46">
        <f t="shared" si="84"/>
        <v>45017</v>
      </c>
      <c r="S19" s="46">
        <f t="shared" si="84"/>
        <v>45047</v>
      </c>
      <c r="T19" s="46">
        <f t="shared" si="84"/>
        <v>45078</v>
      </c>
      <c r="U19" s="46">
        <f t="shared" si="84"/>
        <v>45108</v>
      </c>
      <c r="V19" s="46">
        <f t="shared" si="84"/>
        <v>45139</v>
      </c>
      <c r="W19" s="46">
        <f t="shared" si="84"/>
        <v>45170</v>
      </c>
      <c r="X19" s="46">
        <f t="shared" si="84"/>
        <v>45200</v>
      </c>
      <c r="Y19" s="46">
        <f t="shared" si="84"/>
        <v>45231</v>
      </c>
      <c r="Z19" s="46">
        <f t="shared" si="84"/>
        <v>45261</v>
      </c>
      <c r="AA19" s="46">
        <f t="shared" si="84"/>
        <v>45292</v>
      </c>
      <c r="AB19" s="46">
        <f t="shared" si="84"/>
        <v>45323</v>
      </c>
      <c r="AC19" s="46">
        <f t="shared" si="84"/>
        <v>45352</v>
      </c>
      <c r="AD19" s="46">
        <f t="shared" si="84"/>
        <v>45383</v>
      </c>
      <c r="AE19" s="46">
        <f t="shared" si="84"/>
        <v>45413</v>
      </c>
      <c r="AF19" s="46">
        <f t="shared" si="84"/>
        <v>45444</v>
      </c>
      <c r="AG19" s="46">
        <f t="shared" si="84"/>
        <v>45474</v>
      </c>
      <c r="AH19" s="46">
        <f t="shared" ref="AH19:AL19" si="85">AH5</f>
        <v>45505</v>
      </c>
      <c r="AI19" s="46">
        <f t="shared" si="85"/>
        <v>45536</v>
      </c>
      <c r="AJ19" s="46">
        <f t="shared" si="85"/>
        <v>45566</v>
      </c>
      <c r="AK19" s="46">
        <f t="shared" si="85"/>
        <v>45597</v>
      </c>
      <c r="AL19" s="46">
        <f t="shared" si="85"/>
        <v>45627</v>
      </c>
      <c r="AM19" s="46">
        <f t="shared" ref="AM19:BJ19" si="86">AM5</f>
        <v>45658</v>
      </c>
      <c r="AN19" s="46">
        <f t="shared" si="86"/>
        <v>45689</v>
      </c>
      <c r="AO19" s="46">
        <f t="shared" si="86"/>
        <v>45717</v>
      </c>
      <c r="AP19" s="46">
        <f t="shared" si="86"/>
        <v>45748</v>
      </c>
      <c r="AQ19" s="46">
        <f t="shared" si="86"/>
        <v>45778</v>
      </c>
      <c r="AR19" s="46">
        <f t="shared" si="86"/>
        <v>45809</v>
      </c>
      <c r="AS19" s="46">
        <f t="shared" si="86"/>
        <v>45839</v>
      </c>
      <c r="AT19" s="46">
        <f t="shared" si="86"/>
        <v>45870</v>
      </c>
      <c r="AU19" s="46">
        <f t="shared" si="86"/>
        <v>45901</v>
      </c>
      <c r="AV19" s="46">
        <f t="shared" si="86"/>
        <v>45931</v>
      </c>
      <c r="AW19" s="46">
        <f t="shared" si="86"/>
        <v>45962</v>
      </c>
      <c r="AX19" s="46">
        <f t="shared" si="86"/>
        <v>45992</v>
      </c>
      <c r="AY19" s="46">
        <f t="shared" si="86"/>
        <v>46023</v>
      </c>
      <c r="AZ19" s="46">
        <f t="shared" si="86"/>
        <v>46054</v>
      </c>
      <c r="BA19" s="46">
        <f t="shared" si="86"/>
        <v>46082</v>
      </c>
      <c r="BB19" s="46">
        <f t="shared" si="86"/>
        <v>46113</v>
      </c>
      <c r="BC19" s="46">
        <f t="shared" si="86"/>
        <v>46143</v>
      </c>
      <c r="BD19" s="46">
        <f t="shared" si="86"/>
        <v>46174</v>
      </c>
      <c r="BE19" s="46">
        <f t="shared" si="86"/>
        <v>46204</v>
      </c>
      <c r="BF19" s="46">
        <f t="shared" si="86"/>
        <v>46235</v>
      </c>
      <c r="BG19" s="46">
        <f t="shared" si="86"/>
        <v>46266</v>
      </c>
      <c r="BH19" s="46">
        <f t="shared" si="86"/>
        <v>46296</v>
      </c>
      <c r="BI19" s="46">
        <f t="shared" si="86"/>
        <v>46327</v>
      </c>
      <c r="BJ19" s="46">
        <f t="shared" si="86"/>
        <v>46357</v>
      </c>
    </row>
    <row r="20" spans="1:62" hidden="1">
      <c r="A20" s="144"/>
      <c r="B20" s="14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</row>
    <row r="21" spans="1:62">
      <c r="A21" s="144" t="str">
        <f>A14</f>
        <v>Производственное оборудование</v>
      </c>
      <c r="B21" s="140">
        <f>SUM(C21:BJ21)</f>
        <v>562410</v>
      </c>
      <c r="C21" s="100"/>
      <c r="D21" s="100"/>
      <c r="E21" s="100"/>
      <c r="F21" s="100">
        <f>'Інвестиційний план'!B6</f>
        <v>562410</v>
      </c>
      <c r="G21" s="100">
        <f>'Інвестиційний план'!G6</f>
        <v>0</v>
      </c>
      <c r="H21" s="100">
        <f>'Інвестиційний план'!H6</f>
        <v>0</v>
      </c>
      <c r="I21" s="100">
        <f>'Інвестиційний план'!I6</f>
        <v>0</v>
      </c>
      <c r="J21" s="100">
        <f>'Інвестиційний план'!J6</f>
        <v>0</v>
      </c>
      <c r="K21" s="100">
        <f>'Інвестиційний план'!K6</f>
        <v>0</v>
      </c>
      <c r="L21" s="100">
        <f>'Інвестиційний план'!L6</f>
        <v>0</v>
      </c>
      <c r="M21" s="100">
        <f>'Інвестиційний план'!M6</f>
        <v>0</v>
      </c>
      <c r="N21" s="100">
        <f>'Інвестиційний план'!N6</f>
        <v>0</v>
      </c>
      <c r="O21" s="100">
        <f>'Інвестиційний план'!O6</f>
        <v>0</v>
      </c>
      <c r="P21" s="100">
        <f>'Інвестиційний план'!P6</f>
        <v>0</v>
      </c>
      <c r="Q21" s="100">
        <f>'Інвестиційний план'!Q6</f>
        <v>0</v>
      </c>
      <c r="R21" s="100">
        <f>'Інвестиційний план'!R6</f>
        <v>0</v>
      </c>
      <c r="S21" s="100">
        <f>'Інвестиційний план'!S6</f>
        <v>0</v>
      </c>
      <c r="T21" s="100">
        <f>'Інвестиційний план'!T6</f>
        <v>0</v>
      </c>
      <c r="U21" s="100">
        <f>'Інвестиційний план'!U6</f>
        <v>0</v>
      </c>
      <c r="V21" s="100">
        <f>'Інвестиційний план'!V6</f>
        <v>0</v>
      </c>
      <c r="W21" s="100">
        <f>'Інвестиційний план'!W6</f>
        <v>0</v>
      </c>
      <c r="X21" s="100">
        <f>'Інвестиційний план'!X6</f>
        <v>0</v>
      </c>
      <c r="Y21" s="100">
        <f>'Інвестиційний план'!Y6</f>
        <v>0</v>
      </c>
      <c r="Z21" s="100">
        <f>'Інвестиційний план'!Z6</f>
        <v>0</v>
      </c>
      <c r="AA21" s="100">
        <f>'Інвестиційний план'!AA6</f>
        <v>0</v>
      </c>
      <c r="AB21" s="100">
        <f>'Інвестиційний план'!AB6</f>
        <v>0</v>
      </c>
      <c r="AC21" s="100">
        <f>'Інвестиційний план'!AC6</f>
        <v>0</v>
      </c>
      <c r="AD21" s="100">
        <f>'Інвестиційний план'!AD6</f>
        <v>0</v>
      </c>
      <c r="AE21" s="100">
        <f>'Інвестиційний план'!AE6</f>
        <v>0</v>
      </c>
      <c r="AF21" s="100">
        <f>'Інвестиційний план'!AF6</f>
        <v>0</v>
      </c>
      <c r="AG21" s="100">
        <f>'Інвестиційний план'!AG6</f>
        <v>0</v>
      </c>
      <c r="AH21" s="100">
        <f>'Інвестиційний план'!AH6</f>
        <v>0</v>
      </c>
      <c r="AI21" s="100">
        <f>'Інвестиційний план'!AI6</f>
        <v>0</v>
      </c>
      <c r="AJ21" s="100">
        <f>'Інвестиційний план'!AJ6</f>
        <v>0</v>
      </c>
      <c r="AK21" s="100">
        <f>'Інвестиційний план'!AK6</f>
        <v>0</v>
      </c>
      <c r="AL21" s="100">
        <f>'Інвестиційний план'!AL6</f>
        <v>0</v>
      </c>
      <c r="AM21" s="100">
        <f>'Інвестиційний план'!AM6</f>
        <v>0</v>
      </c>
      <c r="AN21" s="100">
        <f>'Інвестиційний план'!AN6</f>
        <v>0</v>
      </c>
      <c r="AO21" s="100">
        <f>'Інвестиційний план'!AO6</f>
        <v>0</v>
      </c>
      <c r="AP21" s="100">
        <f>'Інвестиційний план'!AP6</f>
        <v>0</v>
      </c>
      <c r="AQ21" s="100">
        <f>'Інвестиційний план'!AQ6</f>
        <v>0</v>
      </c>
      <c r="AR21" s="100">
        <f>'Інвестиційний план'!AR6</f>
        <v>0</v>
      </c>
      <c r="AS21" s="100">
        <f>'Інвестиційний план'!AS6</f>
        <v>0</v>
      </c>
      <c r="AT21" s="100">
        <f>'Інвестиційний план'!AT6</f>
        <v>0</v>
      </c>
      <c r="AU21" s="100">
        <f>'Інвестиційний план'!AU6</f>
        <v>0</v>
      </c>
      <c r="AV21" s="100">
        <f>'Інвестиційний план'!AV6</f>
        <v>0</v>
      </c>
      <c r="AW21" s="100">
        <f>'Інвестиційний план'!AW6</f>
        <v>0</v>
      </c>
      <c r="AX21" s="100">
        <f>'Інвестиційний план'!AX6</f>
        <v>0</v>
      </c>
      <c r="AY21" s="100">
        <f>'Інвестиційний план'!AY6</f>
        <v>0</v>
      </c>
      <c r="AZ21" s="100">
        <f>'Інвестиційний план'!AZ6</f>
        <v>0</v>
      </c>
      <c r="BA21" s="100">
        <f>'Інвестиційний план'!BA6</f>
        <v>0</v>
      </c>
      <c r="BB21" s="100">
        <f>'Інвестиційний план'!BB6</f>
        <v>0</v>
      </c>
      <c r="BC21" s="100">
        <f>'Інвестиційний план'!BC6</f>
        <v>0</v>
      </c>
      <c r="BD21" s="100">
        <f>'Інвестиційний план'!BD6</f>
        <v>0</v>
      </c>
      <c r="BE21" s="100">
        <f>'Інвестиційний план'!BE6</f>
        <v>0</v>
      </c>
      <c r="BF21" s="100">
        <f>'Інвестиційний план'!BF6</f>
        <v>0</v>
      </c>
      <c r="BG21" s="100">
        <f>'Інвестиційний план'!BG6</f>
        <v>0</v>
      </c>
      <c r="BH21" s="100">
        <f>'Інвестиційний план'!BH6</f>
        <v>0</v>
      </c>
      <c r="BI21" s="100">
        <f>'Інвестиційний план'!BI6</f>
        <v>0</v>
      </c>
      <c r="BJ21" s="100">
        <f>'Інвестиційний план'!BJ6</f>
        <v>0</v>
      </c>
    </row>
    <row r="22" spans="1:62" hidden="1">
      <c r="A22" s="144"/>
      <c r="B22" s="14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</row>
    <row r="23" spans="1:62">
      <c r="A23" s="143" t="s">
        <v>1</v>
      </c>
      <c r="B23" s="50">
        <f t="shared" ref="B23:AG23" si="87">SUM(B20:B22)</f>
        <v>562410</v>
      </c>
      <c r="C23" s="50">
        <f t="shared" si="87"/>
        <v>0</v>
      </c>
      <c r="D23" s="50">
        <f t="shared" si="87"/>
        <v>0</v>
      </c>
      <c r="E23" s="50">
        <f t="shared" si="87"/>
        <v>0</v>
      </c>
      <c r="F23" s="50">
        <f t="shared" si="87"/>
        <v>562410</v>
      </c>
      <c r="G23" s="50">
        <f t="shared" si="87"/>
        <v>0</v>
      </c>
      <c r="H23" s="50">
        <f t="shared" si="87"/>
        <v>0</v>
      </c>
      <c r="I23" s="50">
        <f t="shared" si="87"/>
        <v>0</v>
      </c>
      <c r="J23" s="50">
        <f t="shared" si="87"/>
        <v>0</v>
      </c>
      <c r="K23" s="50">
        <f t="shared" si="87"/>
        <v>0</v>
      </c>
      <c r="L23" s="50">
        <f t="shared" si="87"/>
        <v>0</v>
      </c>
      <c r="M23" s="50">
        <f t="shared" si="87"/>
        <v>0</v>
      </c>
      <c r="N23" s="50">
        <f t="shared" si="87"/>
        <v>0</v>
      </c>
      <c r="O23" s="50">
        <f t="shared" si="87"/>
        <v>0</v>
      </c>
      <c r="P23" s="50">
        <f t="shared" si="87"/>
        <v>0</v>
      </c>
      <c r="Q23" s="50">
        <f t="shared" si="87"/>
        <v>0</v>
      </c>
      <c r="R23" s="50">
        <f t="shared" si="87"/>
        <v>0</v>
      </c>
      <c r="S23" s="50">
        <f t="shared" si="87"/>
        <v>0</v>
      </c>
      <c r="T23" s="50">
        <f t="shared" si="87"/>
        <v>0</v>
      </c>
      <c r="U23" s="50">
        <f t="shared" si="87"/>
        <v>0</v>
      </c>
      <c r="V23" s="50">
        <f t="shared" si="87"/>
        <v>0</v>
      </c>
      <c r="W23" s="50">
        <f t="shared" si="87"/>
        <v>0</v>
      </c>
      <c r="X23" s="50">
        <f t="shared" si="87"/>
        <v>0</v>
      </c>
      <c r="Y23" s="50">
        <f t="shared" si="87"/>
        <v>0</v>
      </c>
      <c r="Z23" s="50">
        <f t="shared" si="87"/>
        <v>0</v>
      </c>
      <c r="AA23" s="50">
        <f t="shared" si="87"/>
        <v>0</v>
      </c>
      <c r="AB23" s="50">
        <f t="shared" si="87"/>
        <v>0</v>
      </c>
      <c r="AC23" s="50">
        <f t="shared" si="87"/>
        <v>0</v>
      </c>
      <c r="AD23" s="50">
        <f t="shared" si="87"/>
        <v>0</v>
      </c>
      <c r="AE23" s="50">
        <f t="shared" si="87"/>
        <v>0</v>
      </c>
      <c r="AF23" s="50">
        <f t="shared" si="87"/>
        <v>0</v>
      </c>
      <c r="AG23" s="50">
        <f t="shared" si="87"/>
        <v>0</v>
      </c>
      <c r="AH23" s="50">
        <f t="shared" ref="AH23:AL23" si="88">SUM(AH20:AH22)</f>
        <v>0</v>
      </c>
      <c r="AI23" s="50">
        <f t="shared" si="88"/>
        <v>0</v>
      </c>
      <c r="AJ23" s="50">
        <f t="shared" si="88"/>
        <v>0</v>
      </c>
      <c r="AK23" s="50">
        <f t="shared" si="88"/>
        <v>0</v>
      </c>
      <c r="AL23" s="50">
        <f t="shared" si="88"/>
        <v>0</v>
      </c>
      <c r="AM23" s="50">
        <f t="shared" ref="AM23:BJ23" si="89">SUM(AM20:AM22)</f>
        <v>0</v>
      </c>
      <c r="AN23" s="50">
        <f t="shared" si="89"/>
        <v>0</v>
      </c>
      <c r="AO23" s="50">
        <f t="shared" si="89"/>
        <v>0</v>
      </c>
      <c r="AP23" s="50">
        <f t="shared" si="89"/>
        <v>0</v>
      </c>
      <c r="AQ23" s="50">
        <f t="shared" si="89"/>
        <v>0</v>
      </c>
      <c r="AR23" s="50">
        <f t="shared" si="89"/>
        <v>0</v>
      </c>
      <c r="AS23" s="50">
        <f t="shared" si="89"/>
        <v>0</v>
      </c>
      <c r="AT23" s="50">
        <f t="shared" si="89"/>
        <v>0</v>
      </c>
      <c r="AU23" s="50">
        <f t="shared" si="89"/>
        <v>0</v>
      </c>
      <c r="AV23" s="50">
        <f t="shared" si="89"/>
        <v>0</v>
      </c>
      <c r="AW23" s="50">
        <f t="shared" si="89"/>
        <v>0</v>
      </c>
      <c r="AX23" s="50">
        <f t="shared" si="89"/>
        <v>0</v>
      </c>
      <c r="AY23" s="50">
        <f t="shared" si="89"/>
        <v>0</v>
      </c>
      <c r="AZ23" s="50">
        <f t="shared" si="89"/>
        <v>0</v>
      </c>
      <c r="BA23" s="50">
        <f t="shared" si="89"/>
        <v>0</v>
      </c>
      <c r="BB23" s="50">
        <f t="shared" si="89"/>
        <v>0</v>
      </c>
      <c r="BC23" s="50">
        <f t="shared" si="89"/>
        <v>0</v>
      </c>
      <c r="BD23" s="50">
        <f t="shared" si="89"/>
        <v>0</v>
      </c>
      <c r="BE23" s="50">
        <f t="shared" si="89"/>
        <v>0</v>
      </c>
      <c r="BF23" s="50">
        <f t="shared" si="89"/>
        <v>0</v>
      </c>
      <c r="BG23" s="50">
        <f t="shared" si="89"/>
        <v>0</v>
      </c>
      <c r="BH23" s="50">
        <f t="shared" si="89"/>
        <v>0</v>
      </c>
      <c r="BI23" s="50">
        <f t="shared" si="89"/>
        <v>0</v>
      </c>
      <c r="BJ23" s="50">
        <f t="shared" si="89"/>
        <v>0</v>
      </c>
    </row>
    <row r="24" spans="1:62">
      <c r="A24" s="141"/>
      <c r="B24" s="407">
        <f>SUM(C24:BJ24)</f>
        <v>553036.5</v>
      </c>
      <c r="C24" s="15"/>
      <c r="D24" s="15">
        <f>$B$21/60</f>
        <v>9373.5</v>
      </c>
      <c r="E24" s="15">
        <f t="shared" ref="E24:BJ24" si="90">$B$21/60</f>
        <v>9373.5</v>
      </c>
      <c r="F24" s="15">
        <f t="shared" si="90"/>
        <v>9373.5</v>
      </c>
      <c r="G24" s="15">
        <f t="shared" si="90"/>
        <v>9373.5</v>
      </c>
      <c r="H24" s="15">
        <f t="shared" si="90"/>
        <v>9373.5</v>
      </c>
      <c r="I24" s="15">
        <f t="shared" si="90"/>
        <v>9373.5</v>
      </c>
      <c r="J24" s="15">
        <f t="shared" si="90"/>
        <v>9373.5</v>
      </c>
      <c r="K24" s="15">
        <f t="shared" si="90"/>
        <v>9373.5</v>
      </c>
      <c r="L24" s="15">
        <f t="shared" si="90"/>
        <v>9373.5</v>
      </c>
      <c r="M24" s="15">
        <f t="shared" si="90"/>
        <v>9373.5</v>
      </c>
      <c r="N24" s="15">
        <f t="shared" si="90"/>
        <v>9373.5</v>
      </c>
      <c r="O24" s="15">
        <f t="shared" si="90"/>
        <v>9373.5</v>
      </c>
      <c r="P24" s="15">
        <f t="shared" si="90"/>
        <v>9373.5</v>
      </c>
      <c r="Q24" s="15">
        <f t="shared" si="90"/>
        <v>9373.5</v>
      </c>
      <c r="R24" s="15">
        <f t="shared" si="90"/>
        <v>9373.5</v>
      </c>
      <c r="S24" s="15">
        <f t="shared" si="90"/>
        <v>9373.5</v>
      </c>
      <c r="T24" s="15">
        <f t="shared" si="90"/>
        <v>9373.5</v>
      </c>
      <c r="U24" s="15">
        <f t="shared" si="90"/>
        <v>9373.5</v>
      </c>
      <c r="V24" s="15">
        <f t="shared" si="90"/>
        <v>9373.5</v>
      </c>
      <c r="W24" s="15">
        <f t="shared" si="90"/>
        <v>9373.5</v>
      </c>
      <c r="X24" s="15">
        <f t="shared" si="90"/>
        <v>9373.5</v>
      </c>
      <c r="Y24" s="15">
        <f t="shared" si="90"/>
        <v>9373.5</v>
      </c>
      <c r="Z24" s="15">
        <f t="shared" si="90"/>
        <v>9373.5</v>
      </c>
      <c r="AA24" s="15">
        <f t="shared" si="90"/>
        <v>9373.5</v>
      </c>
      <c r="AB24" s="15">
        <f t="shared" si="90"/>
        <v>9373.5</v>
      </c>
      <c r="AC24" s="15">
        <f t="shared" si="90"/>
        <v>9373.5</v>
      </c>
      <c r="AD24" s="15">
        <f t="shared" si="90"/>
        <v>9373.5</v>
      </c>
      <c r="AE24" s="15">
        <f t="shared" si="90"/>
        <v>9373.5</v>
      </c>
      <c r="AF24" s="15">
        <f t="shared" si="90"/>
        <v>9373.5</v>
      </c>
      <c r="AG24" s="15">
        <f t="shared" si="90"/>
        <v>9373.5</v>
      </c>
      <c r="AH24" s="15">
        <f t="shared" si="90"/>
        <v>9373.5</v>
      </c>
      <c r="AI24" s="15">
        <f t="shared" si="90"/>
        <v>9373.5</v>
      </c>
      <c r="AJ24" s="15">
        <f t="shared" si="90"/>
        <v>9373.5</v>
      </c>
      <c r="AK24" s="15">
        <f t="shared" si="90"/>
        <v>9373.5</v>
      </c>
      <c r="AL24" s="15">
        <f t="shared" si="90"/>
        <v>9373.5</v>
      </c>
      <c r="AM24" s="15">
        <f t="shared" si="90"/>
        <v>9373.5</v>
      </c>
      <c r="AN24" s="15">
        <f t="shared" si="90"/>
        <v>9373.5</v>
      </c>
      <c r="AO24" s="15">
        <f t="shared" si="90"/>
        <v>9373.5</v>
      </c>
      <c r="AP24" s="15">
        <f t="shared" si="90"/>
        <v>9373.5</v>
      </c>
      <c r="AQ24" s="15">
        <f t="shared" si="90"/>
        <v>9373.5</v>
      </c>
      <c r="AR24" s="15">
        <f t="shared" si="90"/>
        <v>9373.5</v>
      </c>
      <c r="AS24" s="15">
        <f t="shared" si="90"/>
        <v>9373.5</v>
      </c>
      <c r="AT24" s="15">
        <f t="shared" si="90"/>
        <v>9373.5</v>
      </c>
      <c r="AU24" s="15">
        <f t="shared" si="90"/>
        <v>9373.5</v>
      </c>
      <c r="AV24" s="15">
        <f t="shared" si="90"/>
        <v>9373.5</v>
      </c>
      <c r="AW24" s="15">
        <f t="shared" si="90"/>
        <v>9373.5</v>
      </c>
      <c r="AX24" s="15">
        <f t="shared" si="90"/>
        <v>9373.5</v>
      </c>
      <c r="AY24" s="15">
        <f t="shared" si="90"/>
        <v>9373.5</v>
      </c>
      <c r="AZ24" s="15">
        <f t="shared" si="90"/>
        <v>9373.5</v>
      </c>
      <c r="BA24" s="15">
        <f t="shared" si="90"/>
        <v>9373.5</v>
      </c>
      <c r="BB24" s="15">
        <f t="shared" si="90"/>
        <v>9373.5</v>
      </c>
      <c r="BC24" s="15">
        <f t="shared" si="90"/>
        <v>9373.5</v>
      </c>
      <c r="BD24" s="15">
        <f t="shared" si="90"/>
        <v>9373.5</v>
      </c>
      <c r="BE24" s="15">
        <f t="shared" si="90"/>
        <v>9373.5</v>
      </c>
      <c r="BF24" s="15">
        <f t="shared" si="90"/>
        <v>9373.5</v>
      </c>
      <c r="BG24" s="15">
        <f t="shared" si="90"/>
        <v>9373.5</v>
      </c>
      <c r="BH24" s="15">
        <f t="shared" si="90"/>
        <v>9373.5</v>
      </c>
      <c r="BI24" s="15">
        <f t="shared" si="90"/>
        <v>9373.5</v>
      </c>
      <c r="BJ24" s="15">
        <f t="shared" si="90"/>
        <v>9373.5</v>
      </c>
    </row>
    <row r="25" spans="1:62">
      <c r="A25" s="142"/>
      <c r="B25" s="142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</row>
    <row r="26" spans="1:62">
      <c r="A26" s="143" t="s">
        <v>46</v>
      </c>
      <c r="B26" s="46" t="str">
        <f t="shared" ref="B26:AG26" si="91">B19</f>
        <v>Итого</v>
      </c>
      <c r="C26" s="46">
        <f t="shared" si="91"/>
        <v>44562</v>
      </c>
      <c r="D26" s="46">
        <f t="shared" si="91"/>
        <v>44593</v>
      </c>
      <c r="E26" s="46">
        <f t="shared" si="91"/>
        <v>44621</v>
      </c>
      <c r="F26" s="46">
        <f t="shared" si="91"/>
        <v>44652</v>
      </c>
      <c r="G26" s="46">
        <f t="shared" si="91"/>
        <v>44682</v>
      </c>
      <c r="H26" s="46">
        <f t="shared" si="91"/>
        <v>44713</v>
      </c>
      <c r="I26" s="46">
        <f t="shared" si="91"/>
        <v>44743</v>
      </c>
      <c r="J26" s="46">
        <f t="shared" si="91"/>
        <v>44774</v>
      </c>
      <c r="K26" s="46">
        <f t="shared" si="91"/>
        <v>44805</v>
      </c>
      <c r="L26" s="46">
        <f t="shared" si="91"/>
        <v>44835</v>
      </c>
      <c r="M26" s="46">
        <f t="shared" si="91"/>
        <v>44866</v>
      </c>
      <c r="N26" s="46">
        <f t="shared" si="91"/>
        <v>44896</v>
      </c>
      <c r="O26" s="46">
        <f t="shared" si="91"/>
        <v>44927</v>
      </c>
      <c r="P26" s="46">
        <f t="shared" si="91"/>
        <v>44958</v>
      </c>
      <c r="Q26" s="46">
        <f t="shared" si="91"/>
        <v>44986</v>
      </c>
      <c r="R26" s="46">
        <f t="shared" si="91"/>
        <v>45017</v>
      </c>
      <c r="S26" s="46">
        <f t="shared" si="91"/>
        <v>45047</v>
      </c>
      <c r="T26" s="46">
        <f t="shared" si="91"/>
        <v>45078</v>
      </c>
      <c r="U26" s="46">
        <f t="shared" si="91"/>
        <v>45108</v>
      </c>
      <c r="V26" s="46">
        <f t="shared" si="91"/>
        <v>45139</v>
      </c>
      <c r="W26" s="46">
        <f t="shared" si="91"/>
        <v>45170</v>
      </c>
      <c r="X26" s="46">
        <f t="shared" si="91"/>
        <v>45200</v>
      </c>
      <c r="Y26" s="46">
        <f t="shared" si="91"/>
        <v>45231</v>
      </c>
      <c r="Z26" s="46">
        <f t="shared" si="91"/>
        <v>45261</v>
      </c>
      <c r="AA26" s="46">
        <f t="shared" si="91"/>
        <v>45292</v>
      </c>
      <c r="AB26" s="46">
        <f t="shared" si="91"/>
        <v>45323</v>
      </c>
      <c r="AC26" s="46">
        <f t="shared" si="91"/>
        <v>45352</v>
      </c>
      <c r="AD26" s="46">
        <f t="shared" si="91"/>
        <v>45383</v>
      </c>
      <c r="AE26" s="46">
        <f t="shared" si="91"/>
        <v>45413</v>
      </c>
      <c r="AF26" s="46">
        <f t="shared" si="91"/>
        <v>45444</v>
      </c>
      <c r="AG26" s="46">
        <f t="shared" si="91"/>
        <v>45474</v>
      </c>
      <c r="AH26" s="46">
        <f t="shared" ref="AH26:AL26" si="92">AH19</f>
        <v>45505</v>
      </c>
      <c r="AI26" s="46">
        <f t="shared" si="92"/>
        <v>45536</v>
      </c>
      <c r="AJ26" s="46">
        <f t="shared" si="92"/>
        <v>45566</v>
      </c>
      <c r="AK26" s="46">
        <f t="shared" si="92"/>
        <v>45597</v>
      </c>
      <c r="AL26" s="46">
        <f t="shared" si="92"/>
        <v>45627</v>
      </c>
      <c r="AM26" s="46">
        <f t="shared" ref="AM26:BJ26" si="93">AM19</f>
        <v>45658</v>
      </c>
      <c r="AN26" s="46">
        <f t="shared" si="93"/>
        <v>45689</v>
      </c>
      <c r="AO26" s="46">
        <f t="shared" si="93"/>
        <v>45717</v>
      </c>
      <c r="AP26" s="46">
        <f t="shared" si="93"/>
        <v>45748</v>
      </c>
      <c r="AQ26" s="46">
        <f t="shared" si="93"/>
        <v>45778</v>
      </c>
      <c r="AR26" s="46">
        <f t="shared" si="93"/>
        <v>45809</v>
      </c>
      <c r="AS26" s="46">
        <f t="shared" si="93"/>
        <v>45839</v>
      </c>
      <c r="AT26" s="46">
        <f t="shared" si="93"/>
        <v>45870</v>
      </c>
      <c r="AU26" s="46">
        <f t="shared" si="93"/>
        <v>45901</v>
      </c>
      <c r="AV26" s="46">
        <f t="shared" si="93"/>
        <v>45931</v>
      </c>
      <c r="AW26" s="46">
        <f t="shared" si="93"/>
        <v>45962</v>
      </c>
      <c r="AX26" s="46">
        <f t="shared" si="93"/>
        <v>45992</v>
      </c>
      <c r="AY26" s="46">
        <f t="shared" si="93"/>
        <v>46023</v>
      </c>
      <c r="AZ26" s="46">
        <f t="shared" si="93"/>
        <v>46054</v>
      </c>
      <c r="BA26" s="46">
        <f t="shared" si="93"/>
        <v>46082</v>
      </c>
      <c r="BB26" s="46">
        <f t="shared" si="93"/>
        <v>46113</v>
      </c>
      <c r="BC26" s="46">
        <f t="shared" si="93"/>
        <v>46143</v>
      </c>
      <c r="BD26" s="46">
        <f t="shared" si="93"/>
        <v>46174</v>
      </c>
      <c r="BE26" s="46">
        <f t="shared" si="93"/>
        <v>46204</v>
      </c>
      <c r="BF26" s="46">
        <f t="shared" si="93"/>
        <v>46235</v>
      </c>
      <c r="BG26" s="46">
        <f t="shared" si="93"/>
        <v>46266</v>
      </c>
      <c r="BH26" s="46">
        <f t="shared" si="93"/>
        <v>46296</v>
      </c>
      <c r="BI26" s="46">
        <f t="shared" si="93"/>
        <v>46327</v>
      </c>
      <c r="BJ26" s="46">
        <f t="shared" si="93"/>
        <v>46357</v>
      </c>
    </row>
    <row r="27" spans="1:62" hidden="1">
      <c r="A27" s="144">
        <f>A20</f>
        <v>0</v>
      </c>
      <c r="B27" s="140"/>
      <c r="C27" s="100">
        <f>C6-C13+C20</f>
        <v>0</v>
      </c>
      <c r="D27" s="100">
        <f>D6-D13+D20</f>
        <v>0</v>
      </c>
      <c r="E27" s="100">
        <f t="shared" ref="E27:AL27" si="94">E6-E13+E20</f>
        <v>0</v>
      </c>
      <c r="F27" s="100">
        <f t="shared" si="94"/>
        <v>0</v>
      </c>
      <c r="G27" s="100">
        <f t="shared" si="94"/>
        <v>0</v>
      </c>
      <c r="H27" s="100">
        <f t="shared" si="94"/>
        <v>0</v>
      </c>
      <c r="I27" s="100">
        <f t="shared" si="94"/>
        <v>0</v>
      </c>
      <c r="J27" s="100">
        <f t="shared" si="94"/>
        <v>0</v>
      </c>
      <c r="K27" s="100">
        <f t="shared" si="94"/>
        <v>0</v>
      </c>
      <c r="L27" s="100">
        <f t="shared" si="94"/>
        <v>0</v>
      </c>
      <c r="M27" s="100">
        <f t="shared" si="94"/>
        <v>0</v>
      </c>
      <c r="N27" s="100">
        <f t="shared" si="94"/>
        <v>0</v>
      </c>
      <c r="O27" s="100">
        <f t="shared" si="94"/>
        <v>0</v>
      </c>
      <c r="P27" s="100">
        <f t="shared" si="94"/>
        <v>0</v>
      </c>
      <c r="Q27" s="100">
        <f t="shared" si="94"/>
        <v>0</v>
      </c>
      <c r="R27" s="100">
        <f t="shared" si="94"/>
        <v>0</v>
      </c>
      <c r="S27" s="100">
        <f t="shared" si="94"/>
        <v>0</v>
      </c>
      <c r="T27" s="100">
        <f t="shared" si="94"/>
        <v>0</v>
      </c>
      <c r="U27" s="100">
        <f t="shared" si="94"/>
        <v>0</v>
      </c>
      <c r="V27" s="100">
        <f t="shared" si="94"/>
        <v>0</v>
      </c>
      <c r="W27" s="100">
        <f t="shared" si="94"/>
        <v>0</v>
      </c>
      <c r="X27" s="100">
        <f t="shared" si="94"/>
        <v>0</v>
      </c>
      <c r="Y27" s="100">
        <f t="shared" si="94"/>
        <v>0</v>
      </c>
      <c r="Z27" s="100">
        <f t="shared" si="94"/>
        <v>0</v>
      </c>
      <c r="AA27" s="100">
        <f t="shared" si="94"/>
        <v>0</v>
      </c>
      <c r="AB27" s="100">
        <f t="shared" si="94"/>
        <v>0</v>
      </c>
      <c r="AC27" s="100">
        <f t="shared" si="94"/>
        <v>0</v>
      </c>
      <c r="AD27" s="100">
        <f t="shared" si="94"/>
        <v>0</v>
      </c>
      <c r="AE27" s="100">
        <f t="shared" si="94"/>
        <v>0</v>
      </c>
      <c r="AF27" s="100">
        <f t="shared" si="94"/>
        <v>0</v>
      </c>
      <c r="AG27" s="100">
        <f t="shared" si="94"/>
        <v>0</v>
      </c>
      <c r="AH27" s="100">
        <f t="shared" si="94"/>
        <v>0</v>
      </c>
      <c r="AI27" s="100">
        <f t="shared" si="94"/>
        <v>0</v>
      </c>
      <c r="AJ27" s="100">
        <f t="shared" si="94"/>
        <v>0</v>
      </c>
      <c r="AK27" s="100">
        <f t="shared" si="94"/>
        <v>0</v>
      </c>
      <c r="AL27" s="100">
        <f t="shared" si="94"/>
        <v>0</v>
      </c>
      <c r="AM27" s="100">
        <f t="shared" ref="AM27:BJ27" si="95">AM6-AM13+AM20</f>
        <v>0</v>
      </c>
      <c r="AN27" s="100">
        <f t="shared" si="95"/>
        <v>0</v>
      </c>
      <c r="AO27" s="100">
        <f t="shared" si="95"/>
        <v>0</v>
      </c>
      <c r="AP27" s="100">
        <f t="shared" si="95"/>
        <v>0</v>
      </c>
      <c r="AQ27" s="100">
        <f t="shared" si="95"/>
        <v>0</v>
      </c>
      <c r="AR27" s="100">
        <f t="shared" si="95"/>
        <v>0</v>
      </c>
      <c r="AS27" s="100">
        <f t="shared" si="95"/>
        <v>0</v>
      </c>
      <c r="AT27" s="100">
        <f t="shared" si="95"/>
        <v>0</v>
      </c>
      <c r="AU27" s="100">
        <f t="shared" si="95"/>
        <v>0</v>
      </c>
      <c r="AV27" s="100">
        <f t="shared" si="95"/>
        <v>0</v>
      </c>
      <c r="AW27" s="100">
        <f t="shared" si="95"/>
        <v>0</v>
      </c>
      <c r="AX27" s="100">
        <f t="shared" si="95"/>
        <v>0</v>
      </c>
      <c r="AY27" s="100">
        <f t="shared" si="95"/>
        <v>0</v>
      </c>
      <c r="AZ27" s="100">
        <f t="shared" si="95"/>
        <v>0</v>
      </c>
      <c r="BA27" s="100">
        <f t="shared" si="95"/>
        <v>0</v>
      </c>
      <c r="BB27" s="100">
        <f t="shared" si="95"/>
        <v>0</v>
      </c>
      <c r="BC27" s="100">
        <f t="shared" si="95"/>
        <v>0</v>
      </c>
      <c r="BD27" s="100">
        <f t="shared" si="95"/>
        <v>0</v>
      </c>
      <c r="BE27" s="100">
        <f t="shared" si="95"/>
        <v>0</v>
      </c>
      <c r="BF27" s="100">
        <f t="shared" si="95"/>
        <v>0</v>
      </c>
      <c r="BG27" s="100">
        <f t="shared" si="95"/>
        <v>0</v>
      </c>
      <c r="BH27" s="100">
        <f t="shared" si="95"/>
        <v>0</v>
      </c>
      <c r="BI27" s="100">
        <f t="shared" si="95"/>
        <v>0</v>
      </c>
      <c r="BJ27" s="100">
        <f t="shared" si="95"/>
        <v>0</v>
      </c>
    </row>
    <row r="28" spans="1:62">
      <c r="A28" s="144" t="str">
        <f>A21</f>
        <v>Производственное оборудование</v>
      </c>
      <c r="B28" s="252"/>
      <c r="C28" s="100">
        <f>C21</f>
        <v>0</v>
      </c>
      <c r="D28" s="100">
        <f>D7-D14+D21</f>
        <v>0</v>
      </c>
      <c r="E28" s="100">
        <f t="shared" ref="E28:AL28" si="96">E7-E14+E21</f>
        <v>0</v>
      </c>
      <c r="F28" s="100">
        <f t="shared" si="96"/>
        <v>562410</v>
      </c>
      <c r="G28" s="100">
        <f t="shared" si="96"/>
        <v>553036.5</v>
      </c>
      <c r="H28" s="100">
        <f t="shared" si="96"/>
        <v>543819.22499999998</v>
      </c>
      <c r="I28" s="100">
        <f t="shared" si="96"/>
        <v>534755.57124999992</v>
      </c>
      <c r="J28" s="100">
        <f t="shared" si="96"/>
        <v>525842.97839583328</v>
      </c>
      <c r="K28" s="100">
        <f t="shared" si="96"/>
        <v>517078.92875590274</v>
      </c>
      <c r="L28" s="100">
        <f>L7-L14+L21</f>
        <v>508460.94660997106</v>
      </c>
      <c r="M28" s="100">
        <f t="shared" si="96"/>
        <v>499986.59749980486</v>
      </c>
      <c r="N28" s="100">
        <f t="shared" si="96"/>
        <v>491653.48754147481</v>
      </c>
      <c r="O28" s="100">
        <f t="shared" si="96"/>
        <v>483459.26274911687</v>
      </c>
      <c r="P28" s="100">
        <f t="shared" si="96"/>
        <v>475401.60836996493</v>
      </c>
      <c r="Q28" s="100">
        <f t="shared" si="96"/>
        <v>467478.24823046551</v>
      </c>
      <c r="R28" s="100">
        <f t="shared" si="96"/>
        <v>459686.94409329107</v>
      </c>
      <c r="S28" s="100">
        <f t="shared" si="96"/>
        <v>452025.49502506957</v>
      </c>
      <c r="T28" s="100">
        <f t="shared" si="96"/>
        <v>444491.73677465174</v>
      </c>
      <c r="U28" s="100">
        <f t="shared" si="96"/>
        <v>437083.5411617409</v>
      </c>
      <c r="V28" s="100">
        <f t="shared" si="96"/>
        <v>429798.81547571189</v>
      </c>
      <c r="W28" s="100">
        <f t="shared" si="96"/>
        <v>422635.50188445003</v>
      </c>
      <c r="X28" s="100">
        <f t="shared" si="96"/>
        <v>415591.57685304253</v>
      </c>
      <c r="Y28" s="100">
        <f t="shared" si="96"/>
        <v>408665.05057215848</v>
      </c>
      <c r="Z28" s="100">
        <f t="shared" si="96"/>
        <v>401853.96639595582</v>
      </c>
      <c r="AA28" s="100">
        <f t="shared" si="96"/>
        <v>395156.40028935653</v>
      </c>
      <c r="AB28" s="100">
        <f t="shared" si="96"/>
        <v>388570.46028453391</v>
      </c>
      <c r="AC28" s="100">
        <f t="shared" si="96"/>
        <v>382094.28594645835</v>
      </c>
      <c r="AD28" s="100">
        <f t="shared" si="96"/>
        <v>375726.04784735071</v>
      </c>
      <c r="AE28" s="100">
        <f t="shared" si="96"/>
        <v>369463.94704989484</v>
      </c>
      <c r="AF28" s="100">
        <f t="shared" si="96"/>
        <v>363306.21459906327</v>
      </c>
      <c r="AG28" s="100">
        <f t="shared" si="96"/>
        <v>357251.11102241219</v>
      </c>
      <c r="AH28" s="100">
        <f t="shared" si="96"/>
        <v>351296.92583870533</v>
      </c>
      <c r="AI28" s="100">
        <f t="shared" si="96"/>
        <v>345441.97707472689</v>
      </c>
      <c r="AJ28" s="100">
        <f t="shared" si="96"/>
        <v>339684.61079014809</v>
      </c>
      <c r="AK28" s="100">
        <f t="shared" si="96"/>
        <v>334023.20061031228</v>
      </c>
      <c r="AL28" s="100">
        <f t="shared" si="96"/>
        <v>328456.14726680709</v>
      </c>
      <c r="AM28" s="100">
        <f t="shared" ref="AM28:BJ28" si="97">AM7-AM14+AM21</f>
        <v>322981.87814569363</v>
      </c>
      <c r="AN28" s="100">
        <f t="shared" si="97"/>
        <v>317598.8468432654</v>
      </c>
      <c r="AO28" s="100">
        <f t="shared" si="97"/>
        <v>312305.53272921097</v>
      </c>
      <c r="AP28" s="100">
        <f t="shared" si="97"/>
        <v>307100.44051705743</v>
      </c>
      <c r="AQ28" s="100">
        <f t="shared" si="97"/>
        <v>301982.09984177316</v>
      </c>
      <c r="AR28" s="100">
        <f t="shared" si="97"/>
        <v>296949.06484441028</v>
      </c>
      <c r="AS28" s="100">
        <f t="shared" si="97"/>
        <v>291999.91376367013</v>
      </c>
      <c r="AT28" s="100">
        <f t="shared" si="97"/>
        <v>287133.24853427563</v>
      </c>
      <c r="AU28" s="100">
        <f t="shared" si="97"/>
        <v>282347.69439203769</v>
      </c>
      <c r="AV28" s="100">
        <f t="shared" si="97"/>
        <v>277641.89948550373</v>
      </c>
      <c r="AW28" s="100">
        <f t="shared" si="97"/>
        <v>273014.53449407866</v>
      </c>
      <c r="AX28" s="100">
        <f t="shared" si="97"/>
        <v>268464.29225251067</v>
      </c>
      <c r="AY28" s="100">
        <f t="shared" si="97"/>
        <v>263989.88738163549</v>
      </c>
      <c r="AZ28" s="100">
        <f t="shared" si="97"/>
        <v>259590.05592527491</v>
      </c>
      <c r="BA28" s="100">
        <f t="shared" si="97"/>
        <v>255263.55499318699</v>
      </c>
      <c r="BB28" s="100">
        <f t="shared" si="97"/>
        <v>251009.16240996722</v>
      </c>
      <c r="BC28" s="100">
        <f t="shared" si="97"/>
        <v>246825.67636980111</v>
      </c>
      <c r="BD28" s="100">
        <f t="shared" si="97"/>
        <v>242711.91509697109</v>
      </c>
      <c r="BE28" s="100">
        <f t="shared" si="97"/>
        <v>238666.71651202158</v>
      </c>
      <c r="BF28" s="100">
        <f t="shared" si="97"/>
        <v>234688.93790348788</v>
      </c>
      <c r="BG28" s="100">
        <f t="shared" si="97"/>
        <v>230777.45560509642</v>
      </c>
      <c r="BH28" s="100">
        <f t="shared" si="97"/>
        <v>226931.16467834482</v>
      </c>
      <c r="BI28" s="100">
        <f t="shared" si="97"/>
        <v>223148.97860037241</v>
      </c>
      <c r="BJ28" s="100">
        <f t="shared" si="97"/>
        <v>219429.82895703288</v>
      </c>
    </row>
    <row r="29" spans="1:62" hidden="1">
      <c r="A29" s="144"/>
      <c r="B29" s="252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</row>
    <row r="30" spans="1:62">
      <c r="A30" s="45" t="s">
        <v>1</v>
      </c>
      <c r="B30" s="50">
        <f>SUM(B27:B29)</f>
        <v>0</v>
      </c>
      <c r="C30" s="50">
        <f>SUM(C27:C29)</f>
        <v>0</v>
      </c>
      <c r="D30" s="50">
        <f t="shared" ref="D30:AL30" si="98">SUM(D27:D29)</f>
        <v>0</v>
      </c>
      <c r="E30" s="50">
        <f t="shared" si="98"/>
        <v>0</v>
      </c>
      <c r="F30" s="50">
        <f t="shared" si="98"/>
        <v>562410</v>
      </c>
      <c r="G30" s="50">
        <f t="shared" si="98"/>
        <v>553036.5</v>
      </c>
      <c r="H30" s="50">
        <f t="shared" si="98"/>
        <v>543819.22499999998</v>
      </c>
      <c r="I30" s="50">
        <f t="shared" si="98"/>
        <v>534755.57124999992</v>
      </c>
      <c r="J30" s="50">
        <f t="shared" si="98"/>
        <v>525842.97839583328</v>
      </c>
      <c r="K30" s="50">
        <f t="shared" si="98"/>
        <v>517078.92875590274</v>
      </c>
      <c r="L30" s="50">
        <f t="shared" si="98"/>
        <v>508460.94660997106</v>
      </c>
      <c r="M30" s="50">
        <f t="shared" si="98"/>
        <v>499986.59749980486</v>
      </c>
      <c r="N30" s="50">
        <f t="shared" si="98"/>
        <v>491653.48754147481</v>
      </c>
      <c r="O30" s="50">
        <f t="shared" si="98"/>
        <v>483459.26274911687</v>
      </c>
      <c r="P30" s="50">
        <f t="shared" si="98"/>
        <v>475401.60836996493</v>
      </c>
      <c r="Q30" s="50">
        <f t="shared" si="98"/>
        <v>467478.24823046551</v>
      </c>
      <c r="R30" s="50">
        <f t="shared" si="98"/>
        <v>459686.94409329107</v>
      </c>
      <c r="S30" s="50">
        <f t="shared" si="98"/>
        <v>452025.49502506957</v>
      </c>
      <c r="T30" s="50">
        <f t="shared" si="98"/>
        <v>444491.73677465174</v>
      </c>
      <c r="U30" s="50">
        <f t="shared" si="98"/>
        <v>437083.5411617409</v>
      </c>
      <c r="V30" s="50">
        <f t="shared" si="98"/>
        <v>429798.81547571189</v>
      </c>
      <c r="W30" s="50">
        <f t="shared" si="98"/>
        <v>422635.50188445003</v>
      </c>
      <c r="X30" s="50">
        <f t="shared" si="98"/>
        <v>415591.57685304253</v>
      </c>
      <c r="Y30" s="50">
        <f t="shared" si="98"/>
        <v>408665.05057215848</v>
      </c>
      <c r="Z30" s="50">
        <f t="shared" si="98"/>
        <v>401853.96639595582</v>
      </c>
      <c r="AA30" s="50">
        <f t="shared" si="98"/>
        <v>395156.40028935653</v>
      </c>
      <c r="AB30" s="50">
        <f t="shared" si="98"/>
        <v>388570.46028453391</v>
      </c>
      <c r="AC30" s="50">
        <f t="shared" si="98"/>
        <v>382094.28594645835</v>
      </c>
      <c r="AD30" s="50">
        <f t="shared" si="98"/>
        <v>375726.04784735071</v>
      </c>
      <c r="AE30" s="50">
        <f t="shared" si="98"/>
        <v>369463.94704989484</v>
      </c>
      <c r="AF30" s="50">
        <f t="shared" si="98"/>
        <v>363306.21459906327</v>
      </c>
      <c r="AG30" s="50">
        <f t="shared" si="98"/>
        <v>357251.11102241219</v>
      </c>
      <c r="AH30" s="50">
        <f t="shared" si="98"/>
        <v>351296.92583870533</v>
      </c>
      <c r="AI30" s="50">
        <f t="shared" si="98"/>
        <v>345441.97707472689</v>
      </c>
      <c r="AJ30" s="50">
        <f t="shared" si="98"/>
        <v>339684.61079014809</v>
      </c>
      <c r="AK30" s="50">
        <f t="shared" si="98"/>
        <v>334023.20061031228</v>
      </c>
      <c r="AL30" s="50">
        <f t="shared" si="98"/>
        <v>328456.14726680709</v>
      </c>
      <c r="AM30" s="50">
        <f t="shared" ref="AM30:BJ30" si="99">SUM(AM27:AM29)</f>
        <v>322981.87814569363</v>
      </c>
      <c r="AN30" s="50">
        <f t="shared" si="99"/>
        <v>317598.8468432654</v>
      </c>
      <c r="AO30" s="50">
        <f t="shared" si="99"/>
        <v>312305.53272921097</v>
      </c>
      <c r="AP30" s="50">
        <f t="shared" si="99"/>
        <v>307100.44051705743</v>
      </c>
      <c r="AQ30" s="50">
        <f t="shared" si="99"/>
        <v>301982.09984177316</v>
      </c>
      <c r="AR30" s="50">
        <f t="shared" si="99"/>
        <v>296949.06484441028</v>
      </c>
      <c r="AS30" s="50">
        <f t="shared" si="99"/>
        <v>291999.91376367013</v>
      </c>
      <c r="AT30" s="50">
        <f t="shared" si="99"/>
        <v>287133.24853427563</v>
      </c>
      <c r="AU30" s="50">
        <f t="shared" si="99"/>
        <v>282347.69439203769</v>
      </c>
      <c r="AV30" s="50">
        <f t="shared" si="99"/>
        <v>277641.89948550373</v>
      </c>
      <c r="AW30" s="50">
        <f t="shared" si="99"/>
        <v>273014.53449407866</v>
      </c>
      <c r="AX30" s="50">
        <f t="shared" si="99"/>
        <v>268464.29225251067</v>
      </c>
      <c r="AY30" s="50">
        <f t="shared" si="99"/>
        <v>263989.88738163549</v>
      </c>
      <c r="AZ30" s="50">
        <f t="shared" si="99"/>
        <v>259590.05592527491</v>
      </c>
      <c r="BA30" s="50">
        <f t="shared" si="99"/>
        <v>255263.55499318699</v>
      </c>
      <c r="BB30" s="50">
        <f t="shared" si="99"/>
        <v>251009.16240996722</v>
      </c>
      <c r="BC30" s="50">
        <f t="shared" si="99"/>
        <v>246825.67636980111</v>
      </c>
      <c r="BD30" s="50">
        <f t="shared" si="99"/>
        <v>242711.91509697109</v>
      </c>
      <c r="BE30" s="50">
        <f t="shared" si="99"/>
        <v>238666.71651202158</v>
      </c>
      <c r="BF30" s="50">
        <f t="shared" si="99"/>
        <v>234688.93790348788</v>
      </c>
      <c r="BG30" s="50">
        <f t="shared" si="99"/>
        <v>230777.45560509642</v>
      </c>
      <c r="BH30" s="50">
        <f t="shared" si="99"/>
        <v>226931.16467834482</v>
      </c>
      <c r="BI30" s="50">
        <f t="shared" si="99"/>
        <v>223148.97860037241</v>
      </c>
      <c r="BJ30" s="50">
        <f t="shared" si="99"/>
        <v>219429.82895703288</v>
      </c>
    </row>
    <row r="31" spans="1:6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</row>
    <row r="32" spans="1:62">
      <c r="A32" s="15"/>
      <c r="B32" s="14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</row>
    <row r="33" spans="1:62">
      <c r="A33" s="146"/>
      <c r="B33" s="146"/>
      <c r="C33" s="146"/>
      <c r="D33" s="15"/>
      <c r="E33" s="14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</row>
    <row r="34" spans="1:62" ht="18">
      <c r="A34" s="28" t="s">
        <v>47</v>
      </c>
      <c r="B34" s="28"/>
      <c r="C34" s="146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</row>
    <row r="35" spans="1:62" hidden="1">
      <c r="A35" s="146"/>
      <c r="B35" s="146"/>
      <c r="C35" s="146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</row>
    <row r="36" spans="1:62" hidden="1">
      <c r="A36" s="147"/>
      <c r="B36" s="148"/>
      <c r="C36" s="146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</row>
    <row r="37" spans="1:62" hidden="1">
      <c r="A37" s="149"/>
      <c r="B37" s="150"/>
      <c r="C37" s="146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</row>
    <row r="38" spans="1:62">
      <c r="A38" s="151"/>
      <c r="B38" s="151"/>
      <c r="C38" s="146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</row>
    <row r="39" spans="1:62">
      <c r="A39" s="147" t="s">
        <v>132</v>
      </c>
      <c r="B39" s="148"/>
      <c r="C39" s="151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</row>
    <row r="40" spans="1:62">
      <c r="A40" s="149" t="s">
        <v>74</v>
      </c>
      <c r="B40" s="150">
        <v>5</v>
      </c>
      <c r="C40" s="151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</row>
    <row r="41" spans="1:62">
      <c r="A41" s="151"/>
      <c r="B41" s="151"/>
      <c r="C41" s="146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</row>
    <row r="42" spans="1:62" hidden="1">
      <c r="A42" s="147"/>
      <c r="B42" s="148"/>
      <c r="C42" s="151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</row>
    <row r="43" spans="1:62" hidden="1">
      <c r="A43" s="149"/>
      <c r="B43" s="150"/>
      <c r="C43" s="151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</row>
    <row r="44" spans="1:62" hidden="1">
      <c r="A44" s="151"/>
      <c r="B44" s="151"/>
      <c r="C44" s="146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6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1:6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</row>
    <row r="61" spans="1:62">
      <c r="B61" s="270"/>
      <c r="C61" s="270"/>
      <c r="D61" s="270"/>
      <c r="E61" s="270"/>
      <c r="F61" s="270"/>
      <c r="G61" s="270"/>
      <c r="H61" s="270"/>
      <c r="I61" s="270"/>
      <c r="J61" s="270"/>
      <c r="K61" s="270"/>
      <c r="L61" s="270"/>
      <c r="M61" s="270"/>
      <c r="N61" s="270"/>
      <c r="O61" s="270"/>
      <c r="P61" s="270"/>
      <c r="Q61" s="270"/>
      <c r="R61" s="270"/>
      <c r="S61" s="270"/>
      <c r="T61" s="270"/>
      <c r="U61" s="270"/>
      <c r="V61" s="270"/>
      <c r="W61" s="270"/>
      <c r="X61" s="270"/>
      <c r="Y61" s="270"/>
      <c r="Z61" s="270"/>
      <c r="AA61" s="270"/>
      <c r="AB61" s="270"/>
      <c r="AC61" s="270"/>
      <c r="AD61" s="270"/>
      <c r="AE61" s="270"/>
      <c r="AF61" s="270"/>
      <c r="AG61" s="270"/>
      <c r="AH61" s="270"/>
      <c r="AI61" s="270"/>
      <c r="AJ61" s="270"/>
      <c r="AK61" s="270"/>
      <c r="AL61" s="270"/>
      <c r="AM61" s="270"/>
      <c r="AN61" s="270"/>
      <c r="AO61" s="270"/>
      <c r="AP61" s="270"/>
      <c r="AQ61" s="270"/>
      <c r="AR61" s="270"/>
      <c r="AS61" s="270"/>
      <c r="AT61" s="270"/>
      <c r="AU61" s="270"/>
      <c r="AV61" s="270"/>
      <c r="AW61" s="270"/>
      <c r="AX61" s="270"/>
      <c r="AY61" s="270"/>
      <c r="AZ61" s="270"/>
      <c r="BA61" s="270"/>
      <c r="BB61" s="270"/>
      <c r="BC61" s="270"/>
      <c r="BD61" s="270"/>
      <c r="BE61" s="270"/>
      <c r="BF61" s="270"/>
      <c r="BG61" s="270"/>
      <c r="BH61" s="270"/>
      <c r="BI61" s="270"/>
      <c r="BJ61" s="270"/>
    </row>
    <row r="62" spans="1:62">
      <c r="A62" s="269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1"/>
      <c r="AV62" s="181"/>
      <c r="AW62" s="181"/>
      <c r="AX62" s="181"/>
      <c r="AY62" s="181"/>
      <c r="AZ62" s="181"/>
      <c r="BA62" s="181"/>
      <c r="BB62" s="181"/>
      <c r="BC62" s="181"/>
      <c r="BD62" s="181"/>
      <c r="BE62" s="181"/>
      <c r="BF62" s="181"/>
      <c r="BG62" s="181"/>
      <c r="BH62" s="181"/>
      <c r="BI62" s="181"/>
    </row>
    <row r="63" spans="1:62">
      <c r="A63" s="269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</row>
    <row r="64" spans="1:62">
      <c r="A64" s="269"/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81"/>
      <c r="BE64" s="181"/>
      <c r="BF64" s="181"/>
      <c r="BG64" s="181"/>
      <c r="BH64" s="181"/>
      <c r="BI64" s="181"/>
    </row>
    <row r="65" spans="1:61">
      <c r="A65" s="269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</row>
    <row r="69" spans="1:61">
      <c r="A69" s="324"/>
      <c r="B69" s="325" t="s">
        <v>154</v>
      </c>
      <c r="C69" s="325" t="s">
        <v>155</v>
      </c>
      <c r="D69" s="325" t="s">
        <v>156</v>
      </c>
    </row>
    <row r="70" spans="1:61">
      <c r="A70" s="324" t="s">
        <v>141</v>
      </c>
      <c r="B70" s="325"/>
      <c r="C70" s="325"/>
      <c r="D70" s="325"/>
    </row>
    <row r="71" spans="1:61">
      <c r="A71" s="326" t="s">
        <v>43</v>
      </c>
      <c r="B71" s="327">
        <f>C7</f>
        <v>0</v>
      </c>
      <c r="C71" s="327">
        <f>O7</f>
        <v>491653.48754147481</v>
      </c>
      <c r="D71" s="327">
        <f>AA7</f>
        <v>401853.96639595582</v>
      </c>
    </row>
    <row r="72" spans="1:61">
      <c r="A72" s="326" t="s">
        <v>44</v>
      </c>
      <c r="B72" s="327">
        <f>SUM(C14:N14)</f>
        <v>70756.512458525191</v>
      </c>
      <c r="C72" s="327">
        <f>SUM(O14:Z14)</f>
        <v>89799.521145518971</v>
      </c>
      <c r="D72" s="327">
        <f>SUM(AA14:AL14)</f>
        <v>73397.819129148629</v>
      </c>
    </row>
    <row r="73" spans="1:61">
      <c r="A73" s="326" t="s">
        <v>45</v>
      </c>
      <c r="B73" s="327">
        <f>SUM(C21:N21)</f>
        <v>562410</v>
      </c>
      <c r="C73" s="327">
        <f>SUM(O21:Z21)</f>
        <v>0</v>
      </c>
      <c r="D73" s="327">
        <f>SUM(AA21:AL21)</f>
        <v>0</v>
      </c>
    </row>
    <row r="74" spans="1:61">
      <c r="A74" s="326" t="s">
        <v>46</v>
      </c>
      <c r="B74" s="327">
        <f>N28</f>
        <v>491653.48754147481</v>
      </c>
      <c r="C74" s="327">
        <f>Z28</f>
        <v>401853.96639595582</v>
      </c>
      <c r="D74" s="327">
        <f>AL28</f>
        <v>328456.14726680709</v>
      </c>
    </row>
    <row r="75" spans="1:61">
      <c r="B75" s="181"/>
      <c r="C75" s="181"/>
      <c r="D75" s="181"/>
    </row>
  </sheetData>
  <mergeCells count="5">
    <mergeCell ref="C4:N4"/>
    <mergeCell ref="O4:Z4"/>
    <mergeCell ref="AA4:AL4"/>
    <mergeCell ref="AM4:AX4"/>
    <mergeCell ref="AY4:BJ4"/>
  </mergeCells>
  <conditionalFormatting sqref="E6:BJ7">
    <cfRule type="containsBlanks" dxfId="96" priority="4">
      <formula>LEN(TRIM(E6))=0</formula>
    </cfRule>
  </conditionalFormatting>
  <conditionalFormatting sqref="C13:BJ14">
    <cfRule type="containsBlanks" dxfId="95" priority="3">
      <formula>LEN(TRIM(C13))=0</formula>
    </cfRule>
  </conditionalFormatting>
  <conditionalFormatting sqref="C20:BJ21">
    <cfRule type="containsBlanks" dxfId="94" priority="2">
      <formula>LEN(TRIM(C20))=0</formula>
    </cfRule>
  </conditionalFormatting>
  <conditionalFormatting sqref="C27:BJ28">
    <cfRule type="containsBlanks" dxfId="93" priority="1">
      <formula>LEN(TRIM(C27))=0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Q38"/>
  <sheetViews>
    <sheetView zoomScale="80" zoomScaleNormal="80" workbookViewId="0">
      <pane xSplit="1" topLeftCell="G1" activePane="topRight" state="frozen"/>
      <selection pane="topRight" activeCell="J54" sqref="J54"/>
    </sheetView>
  </sheetViews>
  <sheetFormatPr baseColWidth="10" defaultColWidth="8.6640625" defaultRowHeight="13"/>
  <cols>
    <col min="1" max="1" width="36.1640625" bestFit="1" customWidth="1"/>
    <col min="2" max="2" width="19.6640625" customWidth="1"/>
    <col min="3" max="3" width="15.1640625" customWidth="1"/>
    <col min="4" max="4" width="13.6640625" customWidth="1"/>
    <col min="5" max="6" width="14.33203125" bestFit="1" customWidth="1"/>
    <col min="7" max="7" width="14.6640625" customWidth="1"/>
    <col min="8" max="8" width="14.1640625" customWidth="1"/>
    <col min="9" max="9" width="13" customWidth="1"/>
    <col min="10" max="11" width="12.5" customWidth="1"/>
    <col min="12" max="12" width="13.5" customWidth="1"/>
    <col min="13" max="13" width="12.5" customWidth="1"/>
    <col min="14" max="17" width="13.1640625" bestFit="1" customWidth="1"/>
    <col min="18" max="25" width="12.6640625" bestFit="1" customWidth="1"/>
    <col min="26" max="55" width="14.33203125" bestFit="1" customWidth="1"/>
    <col min="56" max="62" width="15.5" bestFit="1" customWidth="1"/>
  </cols>
  <sheetData>
    <row r="1" spans="1:69" ht="23">
      <c r="A1" s="44" t="s">
        <v>9</v>
      </c>
      <c r="B1" s="102" t="s">
        <v>143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</row>
    <row r="2" spans="1:69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</row>
    <row r="3" spans="1:69" s="7" customFormat="1" ht="9.75" customHeight="1">
      <c r="C3" s="430" t="s">
        <v>30</v>
      </c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1" t="s">
        <v>31</v>
      </c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2" t="s">
        <v>32</v>
      </c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28"/>
      <c r="AN3" s="428"/>
      <c r="AO3" s="428"/>
      <c r="AP3" s="428"/>
      <c r="AQ3" s="428"/>
      <c r="AR3" s="428"/>
      <c r="AS3" s="428"/>
      <c r="AT3" s="428"/>
      <c r="AU3" s="428"/>
      <c r="AV3" s="428"/>
      <c r="AW3" s="428"/>
      <c r="AX3" s="428"/>
      <c r="AY3" s="429"/>
      <c r="AZ3" s="429"/>
      <c r="BA3" s="429"/>
      <c r="BB3" s="429"/>
      <c r="BC3" s="429"/>
      <c r="BD3" s="429"/>
      <c r="BE3" s="429"/>
      <c r="BF3" s="429"/>
      <c r="BG3" s="429"/>
      <c r="BH3" s="429"/>
      <c r="BI3" s="429"/>
      <c r="BJ3" s="429"/>
    </row>
    <row r="4" spans="1:69">
      <c r="A4" s="55" t="s">
        <v>10</v>
      </c>
      <c r="B4" s="56" t="str">
        <f>Доходи!B4</f>
        <v>Всього</v>
      </c>
      <c r="C4" s="56">
        <f>Доходи!C4</f>
        <v>44562</v>
      </c>
      <c r="D4" s="56">
        <f>Доходи!D4</f>
        <v>44593</v>
      </c>
      <c r="E4" s="56">
        <f>Доходи!E4</f>
        <v>44621</v>
      </c>
      <c r="F4" s="56">
        <f>Доходи!F4</f>
        <v>44652</v>
      </c>
      <c r="G4" s="56">
        <f>Доходи!G4</f>
        <v>44682</v>
      </c>
      <c r="H4" s="56">
        <f>Доходи!H4</f>
        <v>44713</v>
      </c>
      <c r="I4" s="56">
        <f>Доходи!I4</f>
        <v>44743</v>
      </c>
      <c r="J4" s="56">
        <f>Доходи!J4</f>
        <v>44774</v>
      </c>
      <c r="K4" s="56">
        <f>Доходи!K4</f>
        <v>44805</v>
      </c>
      <c r="L4" s="56">
        <f>Доходи!L4</f>
        <v>44835</v>
      </c>
      <c r="M4" s="56">
        <f>Доходи!M4</f>
        <v>44866</v>
      </c>
      <c r="N4" s="56">
        <f>Доходи!N4</f>
        <v>44896</v>
      </c>
      <c r="O4" s="56">
        <f>Доходи!O4</f>
        <v>44927</v>
      </c>
      <c r="P4" s="56">
        <f>Доходи!P4</f>
        <v>44958</v>
      </c>
      <c r="Q4" s="56">
        <f>Доходи!Q4</f>
        <v>44986</v>
      </c>
      <c r="R4" s="56">
        <f>Доходи!R4</f>
        <v>45017</v>
      </c>
      <c r="S4" s="56">
        <f>Доходи!S4</f>
        <v>45047</v>
      </c>
      <c r="T4" s="56">
        <f>Доходи!T4</f>
        <v>45078</v>
      </c>
      <c r="U4" s="56">
        <f>Доходи!U4</f>
        <v>45108</v>
      </c>
      <c r="V4" s="56">
        <f>Доходи!V4</f>
        <v>45139</v>
      </c>
      <c r="W4" s="56">
        <f>Доходи!W4</f>
        <v>45170</v>
      </c>
      <c r="X4" s="56">
        <f>Доходи!X4</f>
        <v>45200</v>
      </c>
      <c r="Y4" s="56">
        <f>Доходи!Y4</f>
        <v>45231</v>
      </c>
      <c r="Z4" s="56">
        <f>Доходи!Z4</f>
        <v>45261</v>
      </c>
      <c r="AA4" s="56">
        <f>Доходи!AA4</f>
        <v>45292</v>
      </c>
      <c r="AB4" s="56">
        <f>Доходи!AB4</f>
        <v>45323</v>
      </c>
      <c r="AC4" s="56">
        <f>Доходи!AC4</f>
        <v>45352</v>
      </c>
      <c r="AD4" s="56">
        <f>Доходи!AD4</f>
        <v>45383</v>
      </c>
      <c r="AE4" s="56">
        <f>Доходи!AE4</f>
        <v>45413</v>
      </c>
      <c r="AF4" s="56">
        <f>Доходи!AF4</f>
        <v>45444</v>
      </c>
      <c r="AG4" s="56">
        <f>Доходи!AG4</f>
        <v>45474</v>
      </c>
      <c r="AH4" s="56">
        <f>Доходи!AH4</f>
        <v>45505</v>
      </c>
      <c r="AI4" s="56">
        <f>Доходи!AI4</f>
        <v>45536</v>
      </c>
      <c r="AJ4" s="56">
        <f>Доходи!AJ4</f>
        <v>45566</v>
      </c>
      <c r="AK4" s="56">
        <f>Доходи!AK4</f>
        <v>45597</v>
      </c>
      <c r="AL4" s="56">
        <f>Доходи!AL4</f>
        <v>45627</v>
      </c>
      <c r="AM4" s="56">
        <f>Доходи!AM4</f>
        <v>45658</v>
      </c>
      <c r="AN4" s="56">
        <f>Доходи!AN4</f>
        <v>45689</v>
      </c>
      <c r="AO4" s="56">
        <f>Доходи!AO4</f>
        <v>45717</v>
      </c>
      <c r="AP4" s="56">
        <f>Доходи!AP4</f>
        <v>45748</v>
      </c>
      <c r="AQ4" s="56">
        <f>Доходи!AQ4</f>
        <v>45778</v>
      </c>
      <c r="AR4" s="56">
        <f>Доходи!AR4</f>
        <v>45809</v>
      </c>
      <c r="AS4" s="56">
        <f>Доходи!AS4</f>
        <v>45839</v>
      </c>
      <c r="AT4" s="56">
        <f>Доходи!AT4</f>
        <v>45870</v>
      </c>
      <c r="AU4" s="56">
        <f>Доходи!AU4</f>
        <v>45901</v>
      </c>
      <c r="AV4" s="56">
        <f>Доходи!AV4</f>
        <v>45931</v>
      </c>
      <c r="AW4" s="56">
        <f>Доходи!AW4</f>
        <v>45962</v>
      </c>
      <c r="AX4" s="56">
        <f>Доходи!AX4</f>
        <v>45992</v>
      </c>
      <c r="AY4" s="56">
        <f>Доходи!AY4</f>
        <v>46023</v>
      </c>
      <c r="AZ4" s="56">
        <f>Доходи!AZ4</f>
        <v>46054</v>
      </c>
      <c r="BA4" s="56">
        <f>Доходи!BA4</f>
        <v>46082</v>
      </c>
      <c r="BB4" s="56">
        <f>Доходи!BB4</f>
        <v>46113</v>
      </c>
      <c r="BC4" s="56">
        <f>Доходи!BC4</f>
        <v>46143</v>
      </c>
      <c r="BD4" s="56">
        <f>Доходи!BD4</f>
        <v>46174</v>
      </c>
      <c r="BE4" s="56">
        <f>Доходи!BE4</f>
        <v>46204</v>
      </c>
      <c r="BF4" s="56">
        <f>Доходи!BF4</f>
        <v>46235</v>
      </c>
      <c r="BG4" s="56">
        <f>Доходи!BG4</f>
        <v>46266</v>
      </c>
      <c r="BH4" s="56">
        <f>Доходи!BH4</f>
        <v>46296</v>
      </c>
      <c r="BI4" s="56">
        <f>Доходи!BI4</f>
        <v>46327</v>
      </c>
      <c r="BJ4" s="56">
        <f>Доходи!BJ4</f>
        <v>46357</v>
      </c>
    </row>
    <row r="5" spans="1:69">
      <c r="A5" s="224" t="s">
        <v>324</v>
      </c>
      <c r="B5" s="108">
        <f>SUM(C5:BJ5)</f>
        <v>407651.285563824</v>
      </c>
      <c r="C5" s="376">
        <f>IF((ОФР!C10-ОФР!C9-ОФР!C8)&lt;=0,0,(ОФР!C10-ОФР!C9-ОФР!C8)*'Розрахунок податків'!$B$18)</f>
        <v>49053.875399999983</v>
      </c>
      <c r="D5" s="376">
        <f>IF((ОФР!D10-ОФР!D9-ОФР!D8)&lt;=0,0,(ОФР!D10-ОФР!D9-ОФР!D8)*'Розрахунок податків'!$B$18)</f>
        <v>22432.118202000001</v>
      </c>
      <c r="E5" s="376">
        <f>IF((ОФР!E10-ОФР!E9-ОФР!E8)&lt;=0,0,(ОФР!E10-ОФР!E9-ОФР!E8)*'Розрахунок податків'!$B$18)</f>
        <v>0</v>
      </c>
      <c r="F5" s="376">
        <f>IF((ОФР!F10-ОФР!F9-ОФР!F8)&lt;=0,0,(ОФР!F10-ОФР!F9-ОФР!F8)*'Розрахунок податків'!$B$18)</f>
        <v>0</v>
      </c>
      <c r="G5" s="376">
        <f>IF((ОФР!G10-ОФР!G9-ОФР!G8)&lt;=0,0,(ОФР!G10-ОФР!G9-ОФР!G8)*'Розрахунок податків'!$B$18)</f>
        <v>0</v>
      </c>
      <c r="H5" s="376">
        <f>IF((ОФР!H10-ОФР!H9-ОФР!H8)&lt;=0,0,(ОФР!H10-ОФР!H9-ОФР!H8)*'Розрахунок податків'!$B$18)</f>
        <v>0</v>
      </c>
      <c r="I5" s="376">
        <f>IF((ОФР!I10-ОФР!I9-ОФР!I8)&lt;=0,0,(ОФР!I10-ОФР!I9-ОФР!I8)*'Розрахунок податків'!$B$18)</f>
        <v>0</v>
      </c>
      <c r="J5" s="376">
        <f>IF((ОФР!J10-ОФР!J9-ОФР!J8)&lt;=0,0,(ОФР!J10-ОФР!J9-ОФР!J8)*'Розрахунок податків'!$B$18)</f>
        <v>0</v>
      </c>
      <c r="K5" s="376">
        <f>IF((ОФР!K10-ОФР!K9-ОФР!K8)&lt;=0,0,(ОФР!K10-ОФР!K9-ОФР!K8)*'Розрахунок податків'!$B$18)</f>
        <v>0</v>
      </c>
      <c r="L5" s="376">
        <f>IF((ОФР!L10-ОФР!L9-ОФР!L8)&lt;=0,0,(ОФР!L10-ОФР!L9-ОФР!L8)*'Розрахунок податків'!$B$18)</f>
        <v>0</v>
      </c>
      <c r="M5" s="376">
        <f>IF((ОФР!M10-ОФР!M9-ОФР!M8)&lt;=0,0,(ОФР!M10-ОФР!M9-ОФР!M8)*'Розрахунок податків'!$B$18)</f>
        <v>0</v>
      </c>
      <c r="N5" s="376">
        <f>IF((ОФР!N10-ОФР!N9-ОФР!N8)&lt;=0,0,(ОФР!N10-ОФР!N9-ОФР!N8)*'Розрахунок податків'!$B$18)</f>
        <v>0</v>
      </c>
      <c r="O5" s="376">
        <f>IF((ОФР!O10-ОФР!O9-ОФР!O8)&lt;=0,0,(ОФР!O10-ОФР!O9-ОФР!O8)*'Розрахунок податків'!$B$18)</f>
        <v>50818.386399705691</v>
      </c>
      <c r="P5" s="376">
        <f>IF((ОФР!P10-ОФР!P9-ОФР!P8)&lt;=0,0,(ОФР!P10-ОФР!P9-ОФР!P8)*'Розрахунок податків'!$B$18)</f>
        <v>24846.247408653668</v>
      </c>
      <c r="Q5" s="376">
        <f>IF((ОФР!Q10-ОФР!Q9-ОФР!Q8)&lt;=0,0,(ОФР!Q10-ОФР!Q9-ОФР!Q8)*'Розрахунок податків'!$B$18)</f>
        <v>0</v>
      </c>
      <c r="R5" s="376">
        <f>IF((ОФР!R10-ОФР!R9-ОФР!R8)&lt;=0,0,(ОФР!R10-ОФР!R9-ОФР!R8)*'Розрахунок податків'!$B$18)</f>
        <v>0</v>
      </c>
      <c r="S5" s="376">
        <f>IF((ОФР!S10-ОФР!S9-ОФР!S8)&lt;=0,0,(ОФР!S10-ОФР!S9-ОФР!S8)*'Розрахунок податків'!$B$18)</f>
        <v>0</v>
      </c>
      <c r="T5" s="376">
        <f>IF((ОФР!T10-ОФР!T9-ОФР!T8)&lt;=0,0,(ОФР!T10-ОФР!T9-ОФР!T8)*'Розрахунок податків'!$B$18)</f>
        <v>0</v>
      </c>
      <c r="U5" s="376">
        <f>IF((ОФР!U10-ОФР!U9-ОФР!U8)&lt;=0,0,(ОФР!U10-ОФР!U9-ОФР!U8)*'Розрахунок податків'!$B$18)</f>
        <v>0</v>
      </c>
      <c r="V5" s="376">
        <f>IF((ОФР!V10-ОФР!V9-ОФР!V8)&lt;=0,0,(ОФР!V10-ОФР!V9-ОФР!V8)*'Розрахунок податків'!$B$18)</f>
        <v>0</v>
      </c>
      <c r="W5" s="376">
        <f>IF((ОФР!W10-ОФР!W9-ОФР!W8)&lt;=0,0,(ОФР!W10-ОФР!W9-ОФР!W8)*'Розрахунок податків'!$B$18)</f>
        <v>0</v>
      </c>
      <c r="X5" s="376">
        <f>IF((ОФР!X10-ОФР!X9-ОФР!X8)&lt;=0,0,(ОФР!X10-ОФР!X9-ОФР!X8)*'Розрахунок податків'!$B$18)</f>
        <v>0</v>
      </c>
      <c r="Y5" s="376">
        <f>IF((ОФР!Y10-ОФР!Y9-ОФР!Y8)&lt;=0,0,(ОФР!Y10-ОФР!Y9-ОФР!Y8)*'Розрахунок податків'!$B$18)</f>
        <v>62.071640340745979</v>
      </c>
      <c r="Z5" s="376">
        <f>IF((ОФР!Z10-ОФР!Z9-ОФР!Z8)&lt;=0,0,(ОФР!Z10-ОФР!Z9-ОФР!Z8)*'Розрахунок податків'!$B$18)</f>
        <v>228.39105194159123</v>
      </c>
      <c r="AA5" s="376">
        <f>IF((ОФР!AA10-ОФР!AA9-ОФР!AA8)&lt;=0,0,(ОФР!AA10-ОФР!AA9-ОФР!AA8)*'Розрахунок податків'!$B$18)</f>
        <v>52816.52102414293</v>
      </c>
      <c r="AB5" s="376">
        <f>IF((ОФР!AB10-ОФР!AB9-ОФР!AB8)&lt;=0,0,(ОФР!AB10-ОФР!AB9-ОФР!AB8)*'Розрахунок податків'!$B$18)</f>
        <v>26053.44114030249</v>
      </c>
      <c r="AC5" s="376">
        <f>IF((ОФР!AC10-ОФР!AC9-ОФР!AC8)&lt;=0,0,(ОФР!AC10-ОФР!AC9-ОФР!AC8)*'Розрахунок податків'!$B$18)</f>
        <v>0</v>
      </c>
      <c r="AD5" s="376">
        <f>IF((ОФР!AD10-ОФР!AD9-ОФР!AD8)&lt;=0,0,(ОФР!AD10-ОФР!AD9-ОФР!AD8)*'Розрахунок податків'!$B$18)</f>
        <v>0</v>
      </c>
      <c r="AE5" s="376">
        <f>IF((ОФР!AE10-ОФР!AE9-ОФР!AE8)&lt;=0,0,(ОФР!AE10-ОФР!AE9-ОФР!AE8)*'Розрахунок податків'!$B$18)</f>
        <v>0</v>
      </c>
      <c r="AF5" s="376">
        <f>IF((ОФР!AF10-ОФР!AF9-ОФР!AF8)&lt;=0,0,(ОФР!AF10-ОФР!AF9-ОФР!AF8)*'Розрахунок податків'!$B$18)</f>
        <v>0</v>
      </c>
      <c r="AG5" s="376">
        <f>IF((ОФР!AG10-ОФР!AG9-ОФР!AG8)&lt;=0,0,(ОФР!AG10-ОФР!AG9-ОФР!AG8)*'Розрахунок податків'!$B$18)</f>
        <v>0</v>
      </c>
      <c r="AH5" s="376">
        <f>IF((ОФР!AH10-ОФР!AH9-ОФР!AH8)&lt;=0,0,(ОФР!AH10-ОФР!AH9-ОФР!AH8)*'Розрахунок податків'!$B$18)</f>
        <v>0</v>
      </c>
      <c r="AI5" s="376">
        <f>IF((ОФР!AI10-ОФР!AI9-ОФР!AI8)&lt;=0,0,(ОФР!AI10-ОФР!AI9-ОФР!AI8)*'Розрахунок податків'!$B$18)</f>
        <v>0</v>
      </c>
      <c r="AJ5" s="376">
        <f>IF((ОФР!AJ10-ОФР!AJ9-ОФР!AJ8)&lt;=0,0,(ОФР!AJ10-ОФР!AJ9-ОФР!AJ8)*'Розрахунок податків'!$B$18)</f>
        <v>336.5902648073095</v>
      </c>
      <c r="AK5" s="376">
        <f>IF((ОФР!AK10-ОФР!AK9-ОФР!AK8)&lt;=0,0,(ОФР!AK10-ОФР!AK9-ОФР!AK8)*'Розрахунок податків'!$B$18)</f>
        <v>506.64986916933401</v>
      </c>
      <c r="AL5" s="376">
        <f>IF((ОФР!AL10-ОФР!AL9-ОФР!AL8)&lt;=0,0,(ОФР!AL10-ОФР!AL9-ОФР!AL8)*'Розрахунок податків'!$B$18)</f>
        <v>677.07261254226091</v>
      </c>
      <c r="AM5" s="376">
        <f>IF((ОФР!AM10-ОФР!AM9-ОФР!AM8)&lt;=0,0,(ОФР!AM10-ОФР!AM9-ОФР!AM8)*'Розрахунок податків'!$B$18)</f>
        <v>54939.515895147262</v>
      </c>
      <c r="AN5" s="376">
        <f>IF((ОФР!AN10-ОФР!AN9-ОФР!AN8)&lt;=0,0,(ОФР!AN10-ОФР!AN9-ОФР!AN8)*'Розрахунок податків'!$B$18)</f>
        <v>27361.455894402079</v>
      </c>
      <c r="AO5" s="376">
        <f>IF((ОФР!AO10-ОФР!AO9-ОФР!AO8)&lt;=0,0,(ОФР!AO10-ОФР!AO9-ОФР!AO8)*'Розрахунок податків'!$B$18)</f>
        <v>0</v>
      </c>
      <c r="AP5" s="376">
        <f>IF((ОФР!AP10-ОФР!AP9-ОФР!AP8)&lt;=0,0,(ОФР!AP10-ОФР!AP9-ОФР!AP8)*'Розрахунок податків'!$B$18)</f>
        <v>0</v>
      </c>
      <c r="AQ5" s="376">
        <f>IF((ОФР!AQ10-ОФР!AQ9-ОФР!AQ8)&lt;=0,0,(ОФР!AQ10-ОФР!AQ9-ОФР!AQ8)*'Розрахунок податків'!$B$18)</f>
        <v>0</v>
      </c>
      <c r="AR5" s="376">
        <f>IF((ОФР!AR10-ОФР!AR9-ОФР!AR8)&lt;=0,0,(ОФР!AR10-ОФР!AR9-ОФР!AR8)*'Розрахунок податків'!$B$18)</f>
        <v>161.08116237098119</v>
      </c>
      <c r="AS5" s="376">
        <f>IF((ОФР!AS10-ОФР!AS9-ОФР!AS8)&lt;=0,0,(ОФР!AS10-ОФР!AS9-ОФР!AS8)*'Розрахунок податків'!$B$18)</f>
        <v>333.94415972792825</v>
      </c>
      <c r="AT5" s="376">
        <f>IF((ОФР!AT10-ОФР!AT9-ОФР!AT8)&lt;=0,0,(ОФР!AT10-ОФР!AT9-ОФР!AT8)*'Розрахунок податків'!$B$18)</f>
        <v>507.14125957823728</v>
      </c>
      <c r="AU5" s="376">
        <f>IF((ОФР!AU10-ОФР!AU9-ОФР!AU8)&lt;=0,0,(ОФР!AU10-ОФР!AU9-ОФР!AU8)*'Розрахунок податків'!$B$18)</f>
        <v>0</v>
      </c>
      <c r="AV5" s="376">
        <f>IF((ОФР!AV10-ОФР!AV9-ОФР!AV8)&lt;=0,0,(ОФР!AV10-ОФР!AV9-ОФР!AV8)*'Розрахунок податків'!$B$18)</f>
        <v>854.61328998460942</v>
      </c>
      <c r="AW5" s="376">
        <f>IF((ОФР!AW10-ОФР!AW9-ОФР!AW8)&lt;=0,0,(ОФР!AW10-ОФР!AW9-ОФР!AW8)*'Розрахунок податків'!$B$18)</f>
        <v>1028.8719876605635</v>
      </c>
      <c r="AX5" s="376">
        <f>IF((ОФР!AX10-ОФР!AX9-ОФР!AX8)&lt;=0,0,(ОФР!AX10-ОФР!AX9-ОФР!AX8)*'Розрахунок податків'!$B$18)</f>
        <v>1203.4863220807258</v>
      </c>
      <c r="AY5" s="376">
        <f>IF((ОФР!AY10-ОФР!AY9-ОФР!AY8)&lt;=0,0,(ОФР!AY10-ОФР!AY9-ОФР!AY8)*'Розрахунок податків'!$B$18)</f>
        <v>57094.916167341849</v>
      </c>
      <c r="AZ5" s="376">
        <f>IF((ОФР!AZ10-ОФР!AZ9-ОФР!AZ8)&lt;=0,0,(ОФР!AZ10-ОФР!AZ9-ОФР!AZ8)*'Розрахунок податків'!$B$18)</f>
        <v>28677.05110208362</v>
      </c>
      <c r="BA5" s="376">
        <f>IF((ОФР!BA10-ОФР!BA9-ОФР!BA8)&lt;=0,0,(ОФР!BA10-ОФР!BA9-ОФР!BA8)*'Розрахунок податків'!$B$18)</f>
        <v>116.23807011209846</v>
      </c>
      <c r="BB5" s="376">
        <f>IF((ОФР!BB10-ОФР!BB9-ОФР!BB8)&lt;=0,0,(ОФР!BB10-ОФР!BB9-ОФР!BB8)*'Розрахунок податків'!$B$18)</f>
        <v>0</v>
      </c>
      <c r="BC5" s="376">
        <f>IF((ОФР!BC10-ОФР!BC9-ОФР!BC8)&lt;=0,0,(ОФР!BC10-ОФР!BC9-ОФР!BC8)*'Розрахунок податків'!$B$18)</f>
        <v>468.68976373975067</v>
      </c>
      <c r="BD5" s="376">
        <f>IF((ОФР!BD10-ОФР!BD9-ОФР!BD8)&lt;=0,0,(ОФР!BD10-ОФР!BD9-ОФР!BD8)*'Розрахунок податків'!$B$18)</f>
        <v>645.47466754441336</v>
      </c>
      <c r="BE5" s="376">
        <f>IF((ОФР!BE10-ОФР!BE9-ОФР!BE8)&lt;=0,0,(ОФР!BE10-ОФР!BE9-ОФР!BE8)*'Розрахунок податків'!$B$18)</f>
        <v>822.60347860866727</v>
      </c>
      <c r="BF5" s="376">
        <f>IF((ОФР!BF10-ОФР!BF9-ОФР!BF8)&lt;=0,0,(ОФР!BF10-ОФР!BF9-ОФР!BF8)*'Розрахунок податків'!$B$18)</f>
        <v>1000.1131017004755</v>
      </c>
      <c r="BG5" s="376">
        <f>IF((ОФР!BG10-ОФР!BG9-ОФР!BG8)&lt;=0,0,(ОФР!BG10-ОФР!BG9-ОФР!BG8)*'Розрахунок податків'!$B$18)</f>
        <v>0</v>
      </c>
      <c r="BH5" s="376">
        <f>IF((ОФР!BH10-ОФР!BH9-ОФР!BH8)&lt;=0,0,(ОФР!BH10-ОФР!BH9-ОФР!BH8)*'Розрахунок податків'!$B$18)</f>
        <v>1356.1884143549905</v>
      </c>
      <c r="BI5" s="376">
        <f>IF((ОФР!BI10-ОФР!BI9-ОФР!BI8)&lt;=0,0,(ОФР!BI10-ОФР!BI9-ОФР!BI8)*'Розрахунок податків'!$B$18)</f>
        <v>1534.7919247862076</v>
      </c>
      <c r="BJ5" s="376">
        <f>IF((ОФР!BJ10-ОФР!BJ9-ОФР!BJ8)&lt;=0,0,(ОФР!BJ10-ОФР!BJ9-ОФР!BJ8)*'Розрахунок податків'!$B$18)</f>
        <v>1713.7438889935027</v>
      </c>
    </row>
    <row r="6" spans="1:69">
      <c r="A6" s="224"/>
      <c r="B6" s="108">
        <f>SUM(C6:BJ6)</f>
        <v>0</v>
      </c>
      <c r="C6" s="100">
        <f>IF((ОФР!C10-ОФР!C9-ОФР!C8)&lt;=0,0,(ОФР!C10-ОФР!C9-ОФР!C8)*'Розрахунок податків'!$B$19)</f>
        <v>0</v>
      </c>
      <c r="D6" s="100">
        <f>IF((ОФР!D10-ОФР!D9-ОФР!D8)&lt;=0,0,(ОФР!D10-ОФР!D9-ОФР!D8)*'Розрахунок податків'!$B$19)</f>
        <v>0</v>
      </c>
      <c r="E6" s="100">
        <f>IF((ОФР!E10-ОФР!E9-ОФР!E8)&lt;=0,0,(ОФР!E10-ОФР!E9-ОФР!E8)*'Розрахунок податків'!$B$19)</f>
        <v>0</v>
      </c>
      <c r="F6" s="100">
        <f>IF((ОФР!F10-ОФР!F9-ОФР!F8)&lt;=0,0,(ОФР!F10-ОФР!F9-ОФР!F8)*'Розрахунок податків'!$B$19)</f>
        <v>0</v>
      </c>
      <c r="G6" s="100">
        <f>IF((ОФР!G10-ОФР!G9-ОФР!G8)&lt;=0,0,(ОФР!G10-ОФР!G9-ОФР!G8)*'Розрахунок податків'!$B$19)</f>
        <v>0</v>
      </c>
      <c r="H6" s="100">
        <f>IF((ОФР!H10-ОФР!H9-ОФР!H8)&lt;=0,0,(ОФР!H10-ОФР!H9-ОФР!H8)*'Розрахунок податків'!$B$19)</f>
        <v>0</v>
      </c>
      <c r="I6" s="100">
        <f>IF((ОФР!I10-ОФР!I9-ОФР!I8)&lt;=0,0,(ОФР!I10-ОФР!I9-ОФР!I8)*'Розрахунок податків'!$B$19)</f>
        <v>0</v>
      </c>
      <c r="J6" s="100">
        <f>IF((ОФР!J10-ОФР!J9-ОФР!J8)&lt;=0,0,(ОФР!J10-ОФР!J9-ОФР!J8)*'Розрахунок податків'!$B$19)</f>
        <v>0</v>
      </c>
      <c r="K6" s="100">
        <f>IF((ОФР!K10-ОФР!K9-ОФР!K8)&lt;=0,0,(ОФР!K10-ОФР!K9-ОФР!K8)*'Розрахунок податків'!$B$19)</f>
        <v>0</v>
      </c>
      <c r="L6" s="100">
        <f>IF((ОФР!L10-ОФР!L9-ОФР!L8)&lt;=0,0,(ОФР!L10-ОФР!L9-ОФР!L8)*'Розрахунок податків'!$B$19)</f>
        <v>0</v>
      </c>
      <c r="M6" s="100">
        <f>IF((ОФР!M10-ОФР!M9-ОФР!M8)&lt;=0,0,(ОФР!M10-ОФР!M9-ОФР!M8)*'Розрахунок податків'!$B$19)</f>
        <v>0</v>
      </c>
      <c r="N6" s="100">
        <f>IF((ОФР!N10-ОФР!N9-ОФР!N8)&lt;=0,0,(ОФР!N10-ОФР!N9-ОФР!N8)*'Розрахунок податків'!$B$19)</f>
        <v>0</v>
      </c>
      <c r="O6" s="100">
        <f>IF((ОФР!O10-ОФР!O9-ОФР!O8)&lt;=0,0,(ОФР!O10-ОФР!O9-ОФР!O8)*'Розрахунок податків'!$B$19)</f>
        <v>0</v>
      </c>
      <c r="P6" s="100">
        <f>(ОФР!P10-ОФР!P9-ОФР!P8)*'Розрахунок податків'!$B$19</f>
        <v>0</v>
      </c>
      <c r="Q6" s="100">
        <f>(ОФР!Q10-ОФР!Q9-ОФР!Q8)*'Розрахунок податків'!$B$19</f>
        <v>0</v>
      </c>
      <c r="R6" s="100">
        <f>(ОФР!R10-ОФР!R9-ОФР!R8)*'Розрахунок податків'!$B$19</f>
        <v>0</v>
      </c>
      <c r="S6" s="100">
        <f>(ОФР!S10-ОФР!S9-ОФР!S8)*'Розрахунок податків'!$B$19</f>
        <v>0</v>
      </c>
      <c r="T6" s="100">
        <f>(ОФР!T10-ОФР!T9-ОФР!T8)*'Розрахунок податків'!$B$19</f>
        <v>0</v>
      </c>
      <c r="U6" s="100">
        <f>(ОФР!U10-ОФР!U9-ОФР!U8)*'Розрахунок податків'!$B$19</f>
        <v>0</v>
      </c>
      <c r="V6" s="100">
        <f>(ОФР!V10-ОФР!V9-ОФР!V8)*'Розрахунок податків'!$B$19</f>
        <v>0</v>
      </c>
      <c r="W6" s="100">
        <f>(ОФР!W10-ОФР!W9-ОФР!W8)*'Розрахунок податків'!$B$19</f>
        <v>0</v>
      </c>
      <c r="X6" s="100">
        <f>(ОФР!X10-ОФР!X9-ОФР!X8)*'Розрахунок податків'!$B$19</f>
        <v>0</v>
      </c>
      <c r="Y6" s="100">
        <f>(ОФР!Y10-ОФР!Y9-ОФР!Y8)*'Розрахунок податків'!$B$19</f>
        <v>0</v>
      </c>
      <c r="Z6" s="100">
        <f>(ОФР!Z10-ОФР!Z9-ОФР!Z8)*'Розрахунок податків'!$B$19</f>
        <v>0</v>
      </c>
      <c r="AA6" s="100">
        <f>(ОФР!AA10-ОФР!AA9-ОФР!AA8)*'Розрахунок податків'!$B$19</f>
        <v>0</v>
      </c>
      <c r="AB6" s="100">
        <f>(ОФР!AB10-ОФР!AB9-ОФР!AB8)*'Розрахунок податків'!$B$19</f>
        <v>0</v>
      </c>
      <c r="AC6" s="100">
        <f>(ОФР!AC10-ОФР!AC9-ОФР!AC8)*'Розрахунок податків'!$B$19</f>
        <v>0</v>
      </c>
      <c r="AD6" s="100">
        <f>(ОФР!AD10-ОФР!AD9-ОФР!AD8)*'Розрахунок податків'!$B$19</f>
        <v>0</v>
      </c>
      <c r="AE6" s="100">
        <f>(ОФР!AE10-ОФР!AE9-ОФР!AE8)*'Розрахунок податків'!$B$19</f>
        <v>0</v>
      </c>
      <c r="AF6" s="100">
        <f>(ОФР!AF10-ОФР!AF9-ОФР!AF8)*'Розрахунок податків'!$B$19</f>
        <v>0</v>
      </c>
      <c r="AG6" s="100">
        <f>(ОФР!AG10-ОФР!AG9-ОФР!AG8)*'Розрахунок податків'!$B$19</f>
        <v>0</v>
      </c>
      <c r="AH6" s="100">
        <f>(ОФР!AH10-ОФР!AH9-ОФР!AH8)*'Розрахунок податків'!$B$19</f>
        <v>0</v>
      </c>
      <c r="AI6" s="100">
        <f>(ОФР!AI10-ОФР!AI9-ОФР!AI8)*'Розрахунок податків'!$B$19</f>
        <v>0</v>
      </c>
      <c r="AJ6" s="100">
        <f>(ОФР!AJ10-ОФР!AJ9-ОФР!AJ8)*'Розрахунок податків'!$B$19</f>
        <v>0</v>
      </c>
      <c r="AK6" s="100">
        <f>(ОФР!AK10-ОФР!AK9-ОФР!AK8)*'Розрахунок податків'!$B$19</f>
        <v>0</v>
      </c>
      <c r="AL6" s="100">
        <f>(ОФР!AL10-ОФР!AL9-ОФР!AL8)*'Розрахунок податків'!$B$19</f>
        <v>0</v>
      </c>
      <c r="AM6" s="100">
        <f>(ОФР!AM10-ОФР!AM9-ОФР!AM8)*'Розрахунок податків'!$B$19</f>
        <v>0</v>
      </c>
      <c r="AN6" s="100">
        <f>(ОФР!AN10-ОФР!AN9-ОФР!AN8)*'Розрахунок податків'!$B$19</f>
        <v>0</v>
      </c>
      <c r="AO6" s="100">
        <f>(ОФР!AO10-ОФР!AO9-ОФР!AO8)*'Розрахунок податків'!$B$19</f>
        <v>0</v>
      </c>
      <c r="AP6" s="100">
        <f>(ОФР!AP10-ОФР!AP9-ОФР!AP8)*'Розрахунок податків'!$B$19</f>
        <v>0</v>
      </c>
      <c r="AQ6" s="100">
        <f>(ОФР!AQ10-ОФР!AQ9-ОФР!AQ8)*'Розрахунок податків'!$B$19</f>
        <v>0</v>
      </c>
      <c r="AR6" s="100">
        <f>(ОФР!AR10-ОФР!AR9-ОФР!AR8)*'Розрахунок податків'!$B$19</f>
        <v>0</v>
      </c>
      <c r="AS6" s="100">
        <f>(ОФР!AS10-ОФР!AS9-ОФР!AS8)*'Розрахунок податків'!$B$19</f>
        <v>0</v>
      </c>
      <c r="AT6" s="100">
        <f>(ОФР!AT10-ОФР!AT9-ОФР!AT8)*'Розрахунок податків'!$B$19</f>
        <v>0</v>
      </c>
      <c r="AU6" s="100">
        <f>(ОФР!AU10-ОФР!AU9-ОФР!AU8)*'Розрахунок податків'!$B$19</f>
        <v>0</v>
      </c>
      <c r="AV6" s="100">
        <f>(ОФР!AV10-ОФР!AV9-ОФР!AV8)*'Розрахунок податків'!$B$19</f>
        <v>0</v>
      </c>
      <c r="AW6" s="100">
        <f>(ОФР!AW10-ОФР!AW9-ОФР!AW8)*'Розрахунок податків'!$B$19</f>
        <v>0</v>
      </c>
      <c r="AX6" s="100">
        <f>(ОФР!AX10-ОФР!AX9-ОФР!AX8)*'Розрахунок податків'!$B$19</f>
        <v>0</v>
      </c>
      <c r="AY6" s="100">
        <f>(ОФР!AY10-ОФР!AY9-ОФР!AY8)*'Розрахунок податків'!$B$19</f>
        <v>0</v>
      </c>
      <c r="AZ6" s="100">
        <f>(ОФР!AZ10-ОФР!AZ9-ОФР!AZ8)*'Розрахунок податків'!$B$19</f>
        <v>0</v>
      </c>
      <c r="BA6" s="100">
        <f>(ОФР!BA10-ОФР!BA9-ОФР!BA8)*'Розрахунок податків'!$B$19</f>
        <v>0</v>
      </c>
      <c r="BB6" s="100">
        <f>(ОФР!BB10-ОФР!BB9-ОФР!BB8)*'Розрахунок податків'!$B$19</f>
        <v>0</v>
      </c>
      <c r="BC6" s="100">
        <f>(ОФР!BC10-ОФР!BC9-ОФР!BC8)*'Розрахунок податків'!$B$19</f>
        <v>0</v>
      </c>
      <c r="BD6" s="100">
        <f>(ОФР!BD10-ОФР!BD9-ОФР!BD8)*'Розрахунок податків'!$B$19</f>
        <v>0</v>
      </c>
      <c r="BE6" s="100">
        <f>(ОФР!BE10-ОФР!BE9-ОФР!BE8)*'Розрахунок податків'!$B$19</f>
        <v>0</v>
      </c>
      <c r="BF6" s="100">
        <f>(ОФР!BF10-ОФР!BF9-ОФР!BF8)*'Розрахунок податків'!$B$19</f>
        <v>0</v>
      </c>
      <c r="BG6" s="100">
        <f>(ОФР!BG10-ОФР!BG9-ОФР!BG8)*'Розрахунок податків'!$B$19</f>
        <v>0</v>
      </c>
      <c r="BH6" s="100">
        <f>(ОФР!BH10-ОФР!BH9-ОФР!BH8)*'Розрахунок податків'!$B$19</f>
        <v>0</v>
      </c>
      <c r="BI6" s="100">
        <f>(ОФР!BI10-ОФР!BI9-ОФР!BI8)*'Розрахунок податків'!$B$19</f>
        <v>0</v>
      </c>
      <c r="BJ6" s="100">
        <f>(ОФР!BJ10-ОФР!BJ9-ОФР!BJ8)*'Розрахунок податків'!$B$19</f>
        <v>0</v>
      </c>
    </row>
    <row r="7" spans="1:69" hidden="1">
      <c r="A7" s="224"/>
      <c r="B7" s="108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L7" s="53"/>
      <c r="BM7" s="53"/>
      <c r="BN7" s="53"/>
      <c r="BO7" s="53"/>
      <c r="BP7" s="53"/>
      <c r="BQ7" s="53"/>
    </row>
    <row r="8" spans="1:69" hidden="1">
      <c r="A8" s="224"/>
      <c r="B8" s="108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L8" s="283"/>
      <c r="BM8" s="283"/>
      <c r="BN8" s="283"/>
      <c r="BO8" s="283"/>
      <c r="BP8" s="283"/>
      <c r="BQ8" s="283"/>
    </row>
    <row r="9" spans="1:69">
      <c r="A9" s="52"/>
      <c r="B9" s="108"/>
      <c r="C9" s="100"/>
      <c r="D9" s="100">
        <f>ОФР!D14</f>
        <v>0</v>
      </c>
      <c r="E9" s="100">
        <f>ОФР!E14</f>
        <v>0</v>
      </c>
      <c r="F9" s="100">
        <f>ОФР!F14</f>
        <v>0</v>
      </c>
      <c r="G9" s="100">
        <f>ОФР!G14</f>
        <v>0</v>
      </c>
      <c r="H9" s="100">
        <f>ОФР!H14</f>
        <v>0</v>
      </c>
      <c r="I9" s="100">
        <f>ОФР!I14</f>
        <v>0</v>
      </c>
      <c r="J9" s="100">
        <f>ОФР!J14</f>
        <v>0</v>
      </c>
      <c r="K9" s="100">
        <f>ОФР!K14</f>
        <v>0</v>
      </c>
      <c r="L9" s="100">
        <f>ОФР!L14</f>
        <v>0</v>
      </c>
      <c r="M9" s="100">
        <f>ОФР!M14</f>
        <v>0</v>
      </c>
      <c r="N9" s="100">
        <f>ОФР!N14</f>
        <v>0</v>
      </c>
      <c r="O9" s="100">
        <f>ОФР!O14</f>
        <v>0</v>
      </c>
      <c r="P9" s="100">
        <f>ОФР!P14</f>
        <v>0</v>
      </c>
      <c r="Q9" s="100">
        <f>ОФР!Q14</f>
        <v>0</v>
      </c>
      <c r="R9" s="100">
        <f>ОФР!R14</f>
        <v>0</v>
      </c>
      <c r="S9" s="100">
        <f>ОФР!S14</f>
        <v>0</v>
      </c>
      <c r="T9" s="100">
        <f>ОФР!T14</f>
        <v>0</v>
      </c>
      <c r="U9" s="100">
        <f>ОФР!U14</f>
        <v>0</v>
      </c>
      <c r="V9" s="100">
        <f>ОФР!V14</f>
        <v>0</v>
      </c>
      <c r="W9" s="100">
        <f>ОФР!W14</f>
        <v>0</v>
      </c>
      <c r="X9" s="100">
        <f>ОФР!X14</f>
        <v>0</v>
      </c>
      <c r="Y9" s="100">
        <f>ОФР!Y14</f>
        <v>0</v>
      </c>
      <c r="Z9" s="100">
        <f>ОФР!Z14</f>
        <v>0</v>
      </c>
      <c r="AA9" s="100">
        <f>ОФР!AA14</f>
        <v>0</v>
      </c>
      <c r="AB9" s="100">
        <f>ОФР!AB14</f>
        <v>0</v>
      </c>
      <c r="AC9" s="100">
        <f>ОФР!AC14</f>
        <v>0</v>
      </c>
      <c r="AD9" s="100">
        <f>ОФР!AD14</f>
        <v>0</v>
      </c>
      <c r="AE9" s="100">
        <f>ОФР!AE14</f>
        <v>0</v>
      </c>
      <c r="AF9" s="100">
        <f>ОФР!AF14</f>
        <v>0</v>
      </c>
      <c r="AG9" s="100">
        <f>ОФР!AG14</f>
        <v>0</v>
      </c>
      <c r="AH9" s="100">
        <f>ОФР!AH14</f>
        <v>0</v>
      </c>
      <c r="AI9" s="100">
        <f>ОФР!AI14</f>
        <v>0</v>
      </c>
      <c r="AJ9" s="100">
        <f>ОФР!AJ14</f>
        <v>0</v>
      </c>
      <c r="AK9" s="100">
        <f>ОФР!AK14</f>
        <v>0</v>
      </c>
      <c r="AL9" s="100">
        <f>ОФР!AL14</f>
        <v>0</v>
      </c>
      <c r="AM9" s="100">
        <f>ОФР!AM14</f>
        <v>1</v>
      </c>
      <c r="AN9" s="100">
        <f>ОФР!AN14</f>
        <v>2</v>
      </c>
      <c r="AO9" s="100">
        <f>ОФР!AO14</f>
        <v>3</v>
      </c>
      <c r="AP9" s="100">
        <f>ОФР!AP14</f>
        <v>4</v>
      </c>
      <c r="AQ9" s="100">
        <f>ОФР!AQ14</f>
        <v>5</v>
      </c>
      <c r="AR9" s="100">
        <f>ОФР!AR14</f>
        <v>6</v>
      </c>
      <c r="AS9" s="100">
        <f>ОФР!AS14</f>
        <v>7</v>
      </c>
      <c r="AT9" s="100">
        <f>ОФР!AT14</f>
        <v>8</v>
      </c>
      <c r="AU9" s="100">
        <f>ОФР!AU14</f>
        <v>9</v>
      </c>
      <c r="AV9" s="100">
        <f>ОФР!AV14</f>
        <v>10</v>
      </c>
      <c r="AW9" s="100">
        <f>ОФР!AW14</f>
        <v>11</v>
      </c>
      <c r="AX9" s="100">
        <f>ОФР!AX14</f>
        <v>12</v>
      </c>
      <c r="AY9" s="100">
        <f>ОФР!AY14</f>
        <v>13</v>
      </c>
      <c r="AZ9" s="100">
        <f>ОФР!AZ14</f>
        <v>14</v>
      </c>
      <c r="BA9" s="100">
        <f>ОФР!BA14</f>
        <v>15</v>
      </c>
      <c r="BB9" s="100">
        <f>ОФР!BB14</f>
        <v>16</v>
      </c>
      <c r="BC9" s="100">
        <f>ОФР!BC14</f>
        <v>17</v>
      </c>
      <c r="BD9" s="100">
        <f>ОФР!BD14</f>
        <v>18</v>
      </c>
      <c r="BE9" s="100">
        <f>ОФР!BE14</f>
        <v>19</v>
      </c>
      <c r="BF9" s="100">
        <f>ОФР!BF14</f>
        <v>20</v>
      </c>
      <c r="BG9" s="100">
        <f>ОФР!BG14</f>
        <v>21</v>
      </c>
      <c r="BH9" s="100">
        <f>ОФР!BH14</f>
        <v>22</v>
      </c>
      <c r="BI9" s="100">
        <f>ОФР!BI14</f>
        <v>23</v>
      </c>
      <c r="BJ9" s="100">
        <f>ОФР!BJ14</f>
        <v>24</v>
      </c>
    </row>
    <row r="10" spans="1:69">
      <c r="A10" s="55" t="s">
        <v>1</v>
      </c>
      <c r="B10" s="57">
        <f t="shared" ref="B10:AG10" si="0">SUM(B5:B9)</f>
        <v>407651.285563824</v>
      </c>
      <c r="C10" s="57">
        <f t="shared" si="0"/>
        <v>49053.875399999983</v>
      </c>
      <c r="D10" s="57">
        <f t="shared" si="0"/>
        <v>22432.118202000001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57">
        <f t="shared" si="0"/>
        <v>0</v>
      </c>
      <c r="J10" s="57">
        <f t="shared" si="0"/>
        <v>0</v>
      </c>
      <c r="K10" s="57">
        <f t="shared" si="0"/>
        <v>0</v>
      </c>
      <c r="L10" s="57">
        <f t="shared" si="0"/>
        <v>0</v>
      </c>
      <c r="M10" s="57">
        <f t="shared" si="0"/>
        <v>0</v>
      </c>
      <c r="N10" s="57">
        <f t="shared" si="0"/>
        <v>0</v>
      </c>
      <c r="O10" s="57">
        <f t="shared" si="0"/>
        <v>50818.386399705691</v>
      </c>
      <c r="P10" s="57">
        <f t="shared" si="0"/>
        <v>24846.247408653668</v>
      </c>
      <c r="Q10" s="57">
        <f t="shared" si="0"/>
        <v>0</v>
      </c>
      <c r="R10" s="57">
        <f t="shared" si="0"/>
        <v>0</v>
      </c>
      <c r="S10" s="57">
        <f t="shared" si="0"/>
        <v>0</v>
      </c>
      <c r="T10" s="57">
        <f t="shared" si="0"/>
        <v>0</v>
      </c>
      <c r="U10" s="57">
        <f t="shared" si="0"/>
        <v>0</v>
      </c>
      <c r="V10" s="57">
        <f t="shared" si="0"/>
        <v>0</v>
      </c>
      <c r="W10" s="57">
        <f t="shared" si="0"/>
        <v>0</v>
      </c>
      <c r="X10" s="57">
        <f t="shared" si="0"/>
        <v>0</v>
      </c>
      <c r="Y10" s="57">
        <f t="shared" si="0"/>
        <v>62.071640340745979</v>
      </c>
      <c r="Z10" s="57">
        <f t="shared" si="0"/>
        <v>228.39105194159123</v>
      </c>
      <c r="AA10" s="57">
        <f t="shared" si="0"/>
        <v>52816.52102414293</v>
      </c>
      <c r="AB10" s="57">
        <f t="shared" si="0"/>
        <v>26053.44114030249</v>
      </c>
      <c r="AC10" s="57">
        <f t="shared" si="0"/>
        <v>0</v>
      </c>
      <c r="AD10" s="57">
        <f t="shared" si="0"/>
        <v>0</v>
      </c>
      <c r="AE10" s="57">
        <f t="shared" si="0"/>
        <v>0</v>
      </c>
      <c r="AF10" s="57">
        <f t="shared" si="0"/>
        <v>0</v>
      </c>
      <c r="AG10" s="57">
        <f t="shared" si="0"/>
        <v>0</v>
      </c>
      <c r="AH10" s="57">
        <f t="shared" ref="AH10:AL10" si="1">SUM(AH5:AH9)</f>
        <v>0</v>
      </c>
      <c r="AI10" s="57">
        <f t="shared" si="1"/>
        <v>0</v>
      </c>
      <c r="AJ10" s="57">
        <f t="shared" si="1"/>
        <v>336.5902648073095</v>
      </c>
      <c r="AK10" s="57">
        <f t="shared" si="1"/>
        <v>506.64986916933401</v>
      </c>
      <c r="AL10" s="57">
        <f t="shared" si="1"/>
        <v>677.07261254226091</v>
      </c>
      <c r="AM10" s="57">
        <f t="shared" ref="AM10:BJ10" si="2">SUM(AM5:AM9)</f>
        <v>54940.515895147262</v>
      </c>
      <c r="AN10" s="57">
        <f t="shared" si="2"/>
        <v>27363.455894402079</v>
      </c>
      <c r="AO10" s="57">
        <f t="shared" si="2"/>
        <v>3</v>
      </c>
      <c r="AP10" s="57">
        <f t="shared" si="2"/>
        <v>4</v>
      </c>
      <c r="AQ10" s="57">
        <f t="shared" si="2"/>
        <v>5</v>
      </c>
      <c r="AR10" s="57">
        <f t="shared" si="2"/>
        <v>167.08116237098119</v>
      </c>
      <c r="AS10" s="57">
        <f t="shared" si="2"/>
        <v>340.94415972792825</v>
      </c>
      <c r="AT10" s="57">
        <f t="shared" si="2"/>
        <v>515.14125957823728</v>
      </c>
      <c r="AU10" s="57">
        <f t="shared" si="2"/>
        <v>9</v>
      </c>
      <c r="AV10" s="57">
        <f t="shared" si="2"/>
        <v>864.61328998460942</v>
      </c>
      <c r="AW10" s="57">
        <f t="shared" si="2"/>
        <v>1039.8719876605635</v>
      </c>
      <c r="AX10" s="57">
        <f t="shared" si="2"/>
        <v>1215.4863220807258</v>
      </c>
      <c r="AY10" s="57">
        <f t="shared" si="2"/>
        <v>57107.916167341849</v>
      </c>
      <c r="AZ10" s="57">
        <f t="shared" si="2"/>
        <v>28691.05110208362</v>
      </c>
      <c r="BA10" s="57">
        <f t="shared" si="2"/>
        <v>131.23807011209846</v>
      </c>
      <c r="BB10" s="57">
        <f t="shared" si="2"/>
        <v>16</v>
      </c>
      <c r="BC10" s="57">
        <f t="shared" si="2"/>
        <v>485.68976373975067</v>
      </c>
      <c r="BD10" s="57">
        <f t="shared" si="2"/>
        <v>663.47466754441336</v>
      </c>
      <c r="BE10" s="57">
        <f t="shared" si="2"/>
        <v>841.60347860866727</v>
      </c>
      <c r="BF10" s="57">
        <f t="shared" si="2"/>
        <v>1020.1131017004755</v>
      </c>
      <c r="BG10" s="57">
        <f t="shared" si="2"/>
        <v>21</v>
      </c>
      <c r="BH10" s="57">
        <f t="shared" si="2"/>
        <v>1378.1884143549905</v>
      </c>
      <c r="BI10" s="57">
        <f t="shared" si="2"/>
        <v>1557.7919247862076</v>
      </c>
      <c r="BJ10" s="57">
        <f t="shared" si="2"/>
        <v>1737.7438889935027</v>
      </c>
    </row>
    <row r="11" spans="1:6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</row>
    <row r="12" spans="1:69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</row>
    <row r="13" spans="1:69">
      <c r="A13" s="54"/>
      <c r="B13" s="54"/>
      <c r="C13" s="5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</row>
    <row r="14" spans="1:69" ht="18">
      <c r="A14" s="28" t="s">
        <v>38</v>
      </c>
      <c r="B14" s="28"/>
      <c r="C14" s="5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</row>
    <row r="15" spans="1:69">
      <c r="A15" s="54"/>
      <c r="B15" s="54"/>
      <c r="C15" s="5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</row>
    <row r="16" spans="1:69">
      <c r="A16" s="45" t="s">
        <v>11</v>
      </c>
      <c r="B16" s="58" t="s">
        <v>12</v>
      </c>
      <c r="C16" s="5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</row>
    <row r="17" spans="1:62" s="276" customFormat="1">
      <c r="A17" s="363"/>
      <c r="B17" s="370"/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4"/>
      <c r="O17" s="364"/>
      <c r="P17" s="364"/>
      <c r="Q17" s="364"/>
      <c r="R17" s="364"/>
      <c r="S17" s="364"/>
      <c r="T17" s="364"/>
      <c r="U17" s="364"/>
      <c r="V17" s="364"/>
      <c r="W17" s="365"/>
      <c r="X17" s="365"/>
      <c r="Y17" s="365"/>
      <c r="Z17" s="365"/>
      <c r="AA17" s="365"/>
      <c r="AB17" s="365"/>
      <c r="AC17" s="365"/>
      <c r="AD17" s="365"/>
      <c r="AE17" s="365"/>
      <c r="AF17" s="365"/>
      <c r="AG17" s="365"/>
      <c r="AH17" s="365"/>
      <c r="AI17" s="365"/>
      <c r="AJ17" s="365"/>
      <c r="AK17" s="365"/>
      <c r="AL17" s="365"/>
      <c r="AM17" s="365"/>
      <c r="AN17" s="365"/>
      <c r="AO17" s="365"/>
      <c r="AP17" s="365"/>
      <c r="AQ17" s="365"/>
      <c r="AR17" s="365"/>
      <c r="AS17" s="365"/>
      <c r="AT17" s="365"/>
      <c r="AU17" s="365"/>
      <c r="AV17" s="365"/>
      <c r="AW17" s="365"/>
      <c r="AX17" s="365"/>
      <c r="AY17" s="365"/>
      <c r="AZ17" s="365"/>
      <c r="BA17" s="365"/>
      <c r="BB17" s="365"/>
      <c r="BC17" s="365"/>
      <c r="BD17" s="365"/>
      <c r="BE17" s="365"/>
      <c r="BF17" s="365"/>
      <c r="BG17" s="365"/>
      <c r="BH17" s="365"/>
      <c r="BI17" s="365"/>
      <c r="BJ17" s="365"/>
    </row>
    <row r="18" spans="1:62" s="276" customFormat="1" ht="15" customHeight="1">
      <c r="A18" s="363" t="s">
        <v>324</v>
      </c>
      <c r="B18" s="367">
        <v>0.18</v>
      </c>
      <c r="C18" s="364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364"/>
      <c r="V18" s="364"/>
      <c r="W18" s="365"/>
      <c r="X18" s="365"/>
      <c r="Y18" s="365"/>
      <c r="Z18" s="365"/>
      <c r="AA18" s="365"/>
      <c r="AB18" s="365"/>
      <c r="AC18" s="365"/>
      <c r="AD18" s="365"/>
      <c r="AE18" s="365"/>
      <c r="AF18" s="365"/>
      <c r="AG18" s="365"/>
      <c r="AH18" s="365"/>
      <c r="AI18" s="365"/>
      <c r="AJ18" s="365"/>
      <c r="AK18" s="365"/>
      <c r="AL18" s="365"/>
      <c r="AM18" s="365"/>
      <c r="AN18" s="365"/>
      <c r="AO18" s="365"/>
      <c r="AP18" s="365"/>
      <c r="AQ18" s="365"/>
      <c r="AR18" s="365"/>
      <c r="AS18" s="365"/>
      <c r="AT18" s="365"/>
      <c r="AU18" s="365"/>
      <c r="AV18" s="365"/>
      <c r="AW18" s="365"/>
      <c r="AX18" s="365"/>
      <c r="AY18" s="365"/>
      <c r="AZ18" s="365"/>
      <c r="BA18" s="365"/>
      <c r="BB18" s="365"/>
      <c r="BC18" s="365"/>
      <c r="BD18" s="365"/>
      <c r="BE18" s="365"/>
      <c r="BF18" s="365"/>
      <c r="BG18" s="365"/>
      <c r="BH18" s="365"/>
      <c r="BI18" s="365"/>
      <c r="BJ18" s="365"/>
    </row>
    <row r="19" spans="1:62" s="276" customFormat="1" ht="15" customHeight="1">
      <c r="A19" s="363"/>
      <c r="B19" s="367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4"/>
      <c r="T19" s="364"/>
      <c r="U19" s="364"/>
      <c r="V19" s="364"/>
      <c r="W19" s="365"/>
      <c r="X19" s="365"/>
      <c r="Y19" s="365"/>
      <c r="Z19" s="365"/>
      <c r="AA19" s="365"/>
      <c r="AB19" s="365"/>
      <c r="AC19" s="365"/>
      <c r="AD19" s="365"/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/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65"/>
      <c r="BG19" s="365"/>
      <c r="BH19" s="365"/>
      <c r="BI19" s="365"/>
      <c r="BJ19" s="365"/>
    </row>
    <row r="20" spans="1:62" s="276" customFormat="1" ht="15" customHeight="1">
      <c r="A20" s="363"/>
      <c r="B20" s="370"/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4"/>
      <c r="P20" s="364"/>
      <c r="Q20" s="364"/>
      <c r="R20" s="364"/>
      <c r="S20" s="364"/>
      <c r="T20" s="364"/>
      <c r="U20" s="364"/>
      <c r="V20" s="364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/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65"/>
      <c r="BG20" s="365"/>
      <c r="BH20" s="365"/>
      <c r="BI20" s="365"/>
      <c r="BJ20" s="365"/>
    </row>
    <row r="21" spans="1:62" ht="15" hidden="1" customHeight="1">
      <c r="A21" s="112"/>
      <c r="B21" s="284"/>
      <c r="C21" s="5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</row>
    <row r="22" spans="1:62" ht="15" hidden="1" customHeight="1">
      <c r="A22" s="112"/>
      <c r="B22" s="284"/>
      <c r="C22" s="28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</row>
    <row r="23" spans="1:62" ht="15" customHeight="1">
      <c r="A23" s="112"/>
      <c r="B23" s="274"/>
      <c r="C23" s="271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</row>
    <row r="24" spans="1:62">
      <c r="A24" s="54"/>
      <c r="B24" s="54"/>
      <c r="C24" s="5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</row>
    <row r="25" spans="1:62">
      <c r="A25" s="54"/>
      <c r="B25" s="54"/>
      <c r="C25" s="5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</row>
    <row r="26" spans="1:6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</row>
    <row r="27" spans="1:6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</row>
    <row r="28" spans="1:6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</row>
    <row r="29" spans="1:6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</row>
    <row r="30" spans="1:6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</row>
    <row r="31" spans="1:62" ht="18">
      <c r="A31" s="32" t="s">
        <v>246</v>
      </c>
      <c r="B31" s="32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</row>
    <row r="32" spans="1:6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</row>
    <row r="33" spans="1:62">
      <c r="A33" s="55" t="s">
        <v>10</v>
      </c>
      <c r="B33" s="56" t="s">
        <v>0</v>
      </c>
      <c r="C33" s="56" t="s">
        <v>154</v>
      </c>
      <c r="D33" s="56" t="s">
        <v>155</v>
      </c>
      <c r="E33" s="56" t="s">
        <v>156</v>
      </c>
      <c r="F33" s="56" t="s">
        <v>326</v>
      </c>
      <c r="G33" s="56" t="s">
        <v>327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</row>
    <row r="34" spans="1:62">
      <c r="A34" s="52" t="str">
        <f>A5</f>
        <v>ПП</v>
      </c>
      <c r="B34" s="111">
        <f>SUM(C34:G34)</f>
        <v>382656.42367869307</v>
      </c>
      <c r="C34" s="100">
        <f>SUM(C5:N5)</f>
        <v>71485.993601999988</v>
      </c>
      <c r="D34" s="100">
        <f>SUM(O5:Z5)</f>
        <v>75955.096500641695</v>
      </c>
      <c r="E34" s="100">
        <f>SUM(AA5:AL5)</f>
        <v>80390.274910964319</v>
      </c>
      <c r="F34" s="100">
        <f>SUM(F5:Q5)</f>
        <v>75664.633808359358</v>
      </c>
      <c r="G34" s="100">
        <f>SUM(R5:AC5)</f>
        <v>79160.424856727754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</row>
    <row r="35" spans="1:62">
      <c r="A35" s="52">
        <f>A6</f>
        <v>0</v>
      </c>
      <c r="B35" s="111">
        <f>SUM(C35:G35)</f>
        <v>0</v>
      </c>
      <c r="C35" s="100">
        <f>SUM(C6:N6)</f>
        <v>0</v>
      </c>
      <c r="D35" s="100">
        <f>SUM(O6:Z6)</f>
        <v>0</v>
      </c>
      <c r="E35" s="100">
        <f>SUM(AA6:AL6)</f>
        <v>0</v>
      </c>
      <c r="F35" s="100">
        <f>SUM(F6:Q6)</f>
        <v>0</v>
      </c>
      <c r="G35" s="100">
        <f>SUM(R6:AC6)</f>
        <v>0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</row>
    <row r="36" spans="1:62">
      <c r="A36" s="52"/>
      <c r="B36" s="111">
        <f>SUM(C36:G36)</f>
        <v>0</v>
      </c>
      <c r="C36" s="100">
        <f>SUM(C7:N7)</f>
        <v>0</v>
      </c>
      <c r="D36" s="100">
        <f>SUM(O7:Z7)</f>
        <v>0</v>
      </c>
      <c r="E36" s="100">
        <f>SUM(AA7:AL7)</f>
        <v>0</v>
      </c>
      <c r="F36" s="100">
        <f>SUM(F7:Q7)</f>
        <v>0</v>
      </c>
      <c r="G36" s="100">
        <f>SUM(R7:AC7)</f>
        <v>0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</row>
    <row r="37" spans="1:62">
      <c r="A37" s="52">
        <f>A9</f>
        <v>0</v>
      </c>
      <c r="B37" s="111">
        <f>SUM(C37:G37)</f>
        <v>0</v>
      </c>
      <c r="C37" s="100">
        <f>SUM(C9:N9)</f>
        <v>0</v>
      </c>
      <c r="D37" s="100">
        <f>SUM(O9:Z9)</f>
        <v>0</v>
      </c>
      <c r="E37" s="100">
        <f>SUM(AA9:AL9)</f>
        <v>0</v>
      </c>
      <c r="F37" s="100">
        <f>SUM(F9:Q9)</f>
        <v>0</v>
      </c>
      <c r="G37" s="100">
        <f>SUM(R9:AC9)</f>
        <v>0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</row>
    <row r="38" spans="1:62">
      <c r="A38" s="55" t="str">
        <f>A10</f>
        <v>Итого:</v>
      </c>
      <c r="B38" s="111">
        <f>SUM(C38:G38)</f>
        <v>382656.42367869307</v>
      </c>
      <c r="C38" s="111">
        <f>SUM(C10:N10)</f>
        <v>71485.993601999988</v>
      </c>
      <c r="D38" s="111">
        <f>SUM(O10:Z10)</f>
        <v>75955.096500641695</v>
      </c>
      <c r="E38" s="111">
        <f>SUM(AA10:AL10)</f>
        <v>80390.274910964319</v>
      </c>
      <c r="F38" s="111">
        <f>SUM(F10:Q10)</f>
        <v>75664.633808359358</v>
      </c>
      <c r="G38" s="111">
        <f>SUM(R10:AC10)</f>
        <v>79160.424856727754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</row>
  </sheetData>
  <mergeCells count="5">
    <mergeCell ref="C3:N3"/>
    <mergeCell ref="O3:Z3"/>
    <mergeCell ref="AA3:AL3"/>
    <mergeCell ref="AM3:AX3"/>
    <mergeCell ref="AY3:BJ3"/>
  </mergeCells>
  <phoneticPr fontId="4" type="noConversion"/>
  <conditionalFormatting sqref="C5:BJ9">
    <cfRule type="containsBlanks" dxfId="92" priority="3">
      <formula>LEN(TRIM(C5))=0</formula>
    </cfRule>
  </conditionalFormatting>
  <conditionalFormatting sqref="B34:G38">
    <cfRule type="containsBlanks" dxfId="91" priority="1">
      <formula>LEN(TRIM(B34))=0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J33"/>
  <sheetViews>
    <sheetView zoomScale="76" zoomScaleNormal="76" workbookViewId="0">
      <pane xSplit="1" topLeftCell="B1" activePane="topRight" state="frozen"/>
      <selection pane="topRight" activeCell="C6" sqref="C6"/>
    </sheetView>
  </sheetViews>
  <sheetFormatPr baseColWidth="10" defaultColWidth="8.6640625" defaultRowHeight="13"/>
  <cols>
    <col min="1" max="1" width="54.1640625" customWidth="1"/>
    <col min="2" max="2" width="18.1640625" customWidth="1"/>
    <col min="3" max="3" width="12.1640625" customWidth="1"/>
    <col min="4" max="4" width="12.5" customWidth="1"/>
    <col min="5" max="5" width="13" customWidth="1"/>
    <col min="6" max="6" width="13.6640625" customWidth="1"/>
    <col min="7" max="7" width="14.6640625" customWidth="1"/>
    <col min="8" max="8" width="14.33203125" bestFit="1" customWidth="1"/>
    <col min="9" max="9" width="13.6640625" customWidth="1"/>
    <col min="10" max="22" width="14.33203125" bestFit="1" customWidth="1"/>
    <col min="23" max="23" width="14.1640625" customWidth="1"/>
    <col min="24" max="41" width="15.5" customWidth="1"/>
    <col min="42" max="62" width="15" customWidth="1"/>
  </cols>
  <sheetData>
    <row r="1" spans="1:62" ht="23">
      <c r="A1" s="214" t="s">
        <v>80</v>
      </c>
      <c r="B1" s="102" t="s">
        <v>58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6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</row>
    <row r="3" spans="1:6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</row>
    <row r="4" spans="1:62" ht="9.75" customHeight="1">
      <c r="A4" s="15"/>
      <c r="B4" s="15"/>
      <c r="C4" s="430" t="s">
        <v>30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1" t="s">
        <v>31</v>
      </c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2" t="s">
        <v>32</v>
      </c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28" t="s">
        <v>33</v>
      </c>
      <c r="AN4" s="428"/>
      <c r="AO4" s="428"/>
      <c r="AP4" s="428"/>
      <c r="AQ4" s="428"/>
      <c r="AR4" s="428"/>
      <c r="AS4" s="428"/>
      <c r="AT4" s="428"/>
      <c r="AU4" s="428"/>
      <c r="AV4" s="428"/>
      <c r="AW4" s="428"/>
      <c r="AX4" s="428"/>
      <c r="AY4" s="429" t="s">
        <v>34</v>
      </c>
      <c r="AZ4" s="429"/>
      <c r="BA4" s="429"/>
      <c r="BB4" s="429"/>
      <c r="BC4" s="429"/>
      <c r="BD4" s="429"/>
      <c r="BE4" s="429"/>
      <c r="BF4" s="429"/>
      <c r="BG4" s="429"/>
      <c r="BH4" s="429"/>
      <c r="BI4" s="429"/>
      <c r="BJ4" s="429"/>
    </row>
    <row r="5" spans="1:62">
      <c r="A5" s="137" t="s">
        <v>59</v>
      </c>
      <c r="B5" s="138" t="s">
        <v>0</v>
      </c>
      <c r="C5" s="56">
        <f>'Інвестиційний план'!C4</f>
        <v>44562</v>
      </c>
      <c r="D5" s="56">
        <f>'Інвестиційний план'!D4</f>
        <v>44593</v>
      </c>
      <c r="E5" s="56">
        <f>'Інвестиційний план'!E4</f>
        <v>44621</v>
      </c>
      <c r="F5" s="56">
        <f>'Інвестиційний план'!F4</f>
        <v>44652</v>
      </c>
      <c r="G5" s="56">
        <f>'Інвестиційний план'!G4</f>
        <v>44682</v>
      </c>
      <c r="H5" s="56">
        <f>'Інвестиційний план'!H4</f>
        <v>44713</v>
      </c>
      <c r="I5" s="56">
        <f>'Інвестиційний план'!I4</f>
        <v>44743</v>
      </c>
      <c r="J5" s="56">
        <f>'Інвестиційний план'!J4</f>
        <v>44774</v>
      </c>
      <c r="K5" s="56">
        <f>'Інвестиційний план'!K4</f>
        <v>44805</v>
      </c>
      <c r="L5" s="56">
        <f>'Інвестиційний план'!L4</f>
        <v>44835</v>
      </c>
      <c r="M5" s="56">
        <f>'Інвестиційний план'!M4</f>
        <v>44866</v>
      </c>
      <c r="N5" s="56">
        <f>'Інвестиційний план'!N4</f>
        <v>44896</v>
      </c>
      <c r="O5" s="56">
        <f>'Інвестиційний план'!O4</f>
        <v>44927</v>
      </c>
      <c r="P5" s="56">
        <f>'Інвестиційний план'!P4</f>
        <v>44958</v>
      </c>
      <c r="Q5" s="56">
        <f>'Інвестиційний план'!Q4</f>
        <v>44986</v>
      </c>
      <c r="R5" s="56">
        <f>'Інвестиційний план'!R4</f>
        <v>45017</v>
      </c>
      <c r="S5" s="56">
        <f>'Інвестиційний план'!S4</f>
        <v>45047</v>
      </c>
      <c r="T5" s="56">
        <f>'Інвестиційний план'!T4</f>
        <v>45078</v>
      </c>
      <c r="U5" s="56">
        <f>'Інвестиційний план'!U4</f>
        <v>45108</v>
      </c>
      <c r="V5" s="56">
        <f>'Інвестиційний план'!V4</f>
        <v>45139</v>
      </c>
      <c r="W5" s="56">
        <f>'Інвестиційний план'!W4</f>
        <v>45170</v>
      </c>
      <c r="X5" s="56">
        <f>'Інвестиційний план'!X4</f>
        <v>45200</v>
      </c>
      <c r="Y5" s="56">
        <f>'Інвестиційний план'!Y4</f>
        <v>45231</v>
      </c>
      <c r="Z5" s="56">
        <f>'Інвестиційний план'!Z4</f>
        <v>45261</v>
      </c>
      <c r="AA5" s="56">
        <f>'Інвестиційний план'!AA4</f>
        <v>45292</v>
      </c>
      <c r="AB5" s="56">
        <f>'Інвестиційний план'!AB4</f>
        <v>45323</v>
      </c>
      <c r="AC5" s="56">
        <f>'Інвестиційний план'!AC4</f>
        <v>45352</v>
      </c>
      <c r="AD5" s="56">
        <f>'Інвестиційний план'!AD4</f>
        <v>45383</v>
      </c>
      <c r="AE5" s="56">
        <f>'Інвестиційний план'!AE4</f>
        <v>45413</v>
      </c>
      <c r="AF5" s="56">
        <f>'Інвестиційний план'!AF4</f>
        <v>45444</v>
      </c>
      <c r="AG5" s="56">
        <f>'Інвестиційний план'!AG4</f>
        <v>45474</v>
      </c>
      <c r="AH5" s="56">
        <f>'Інвестиційний план'!AH4</f>
        <v>45505</v>
      </c>
      <c r="AI5" s="56">
        <f>'Інвестиційний план'!AI4</f>
        <v>45536</v>
      </c>
      <c r="AJ5" s="56">
        <f>'Інвестиційний план'!AJ4</f>
        <v>45566</v>
      </c>
      <c r="AK5" s="56">
        <f>'Інвестиційний план'!AK4</f>
        <v>45597</v>
      </c>
      <c r="AL5" s="56">
        <f>'Інвестиційний план'!AL4</f>
        <v>45627</v>
      </c>
      <c r="AM5" s="56">
        <f>'Інвестиційний план'!AM4</f>
        <v>45658</v>
      </c>
      <c r="AN5" s="56">
        <f>'Інвестиційний план'!AN4</f>
        <v>45689</v>
      </c>
      <c r="AO5" s="56">
        <f>'Інвестиційний план'!AO4</f>
        <v>45717</v>
      </c>
      <c r="AP5" s="56">
        <f>'Інвестиційний план'!AP4</f>
        <v>45748</v>
      </c>
      <c r="AQ5" s="56">
        <f>'Інвестиційний план'!AQ4</f>
        <v>45778</v>
      </c>
      <c r="AR5" s="56">
        <f>'Інвестиційний план'!AR4</f>
        <v>45809</v>
      </c>
      <c r="AS5" s="56">
        <f>'Інвестиційний план'!AS4</f>
        <v>45839</v>
      </c>
      <c r="AT5" s="56">
        <f>'Інвестиційний план'!AT4</f>
        <v>45870</v>
      </c>
      <c r="AU5" s="56">
        <f>'Інвестиційний план'!AU4</f>
        <v>45901</v>
      </c>
      <c r="AV5" s="56">
        <f>'Інвестиційний план'!AV4</f>
        <v>45931</v>
      </c>
      <c r="AW5" s="56">
        <f>'Інвестиційний план'!AW4</f>
        <v>45962</v>
      </c>
      <c r="AX5" s="56">
        <f>'Інвестиційний план'!AX4</f>
        <v>45992</v>
      </c>
      <c r="AY5" s="56">
        <f>'Інвестиційний план'!AY4</f>
        <v>46023</v>
      </c>
      <c r="AZ5" s="56">
        <f>'Інвестиційний план'!AZ4</f>
        <v>46054</v>
      </c>
      <c r="BA5" s="56">
        <f>'Інвестиційний план'!BA4</f>
        <v>46082</v>
      </c>
      <c r="BB5" s="56">
        <f>'Інвестиційний план'!BB4</f>
        <v>46113</v>
      </c>
      <c r="BC5" s="56">
        <f>'Інвестиційний план'!BC4</f>
        <v>46143</v>
      </c>
      <c r="BD5" s="56">
        <f>'Інвестиційний план'!BD4</f>
        <v>46174</v>
      </c>
      <c r="BE5" s="56">
        <f>'Інвестиційний план'!BE4</f>
        <v>46204</v>
      </c>
      <c r="BF5" s="56">
        <f>'Інвестиційний план'!BF4</f>
        <v>46235</v>
      </c>
      <c r="BG5" s="56">
        <f>'Інвестиційний план'!BG4</f>
        <v>46266</v>
      </c>
      <c r="BH5" s="56">
        <f>'Інвестиційний план'!BH4</f>
        <v>46296</v>
      </c>
      <c r="BI5" s="56">
        <f>'Інвестиційний план'!BI4</f>
        <v>46327</v>
      </c>
      <c r="BJ5" s="56">
        <f>'Інвестиційний план'!BJ4</f>
        <v>46357</v>
      </c>
    </row>
    <row r="6" spans="1:62">
      <c r="A6" s="139" t="s">
        <v>70</v>
      </c>
      <c r="B6" s="140">
        <f>SUM(C6:BJ6)</f>
        <v>0</v>
      </c>
      <c r="C6" s="53">
        <f>ОДДС!C21*Кредит!$B$22</f>
        <v>0</v>
      </c>
      <c r="D6" s="53">
        <f>ОДДС!D21*Кредит!$B$22</f>
        <v>0</v>
      </c>
      <c r="E6" s="53">
        <f>ОДДС!E21*Кредит!$B$22</f>
        <v>0</v>
      </c>
      <c r="F6" s="53">
        <f>ОДДС!F21*Кредит!$B$22</f>
        <v>0</v>
      </c>
      <c r="G6" s="53">
        <f>ОДДС!G21*Кредит!$B$22</f>
        <v>0</v>
      </c>
      <c r="H6" s="53">
        <f>ОДДС!H21*Кредит!$B$22</f>
        <v>0</v>
      </c>
      <c r="I6" s="53">
        <f>ОДДС!I21*Кредит!$B$22</f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0</v>
      </c>
      <c r="W6" s="53">
        <v>0</v>
      </c>
      <c r="X6" s="53">
        <v>0</v>
      </c>
      <c r="Y6" s="53">
        <v>0</v>
      </c>
      <c r="Z6" s="53">
        <v>0</v>
      </c>
      <c r="AA6" s="53">
        <v>0</v>
      </c>
      <c r="AB6" s="53">
        <v>0</v>
      </c>
      <c r="AC6" s="53">
        <v>0</v>
      </c>
      <c r="AD6" s="53">
        <v>0</v>
      </c>
      <c r="AE6" s="53">
        <v>0</v>
      </c>
      <c r="AF6" s="53">
        <v>0</v>
      </c>
      <c r="AG6" s="53">
        <v>0</v>
      </c>
      <c r="AH6" s="53">
        <v>0</v>
      </c>
      <c r="AI6" s="53">
        <v>0</v>
      </c>
      <c r="AJ6" s="53">
        <v>0</v>
      </c>
      <c r="AK6" s="53">
        <v>0</v>
      </c>
      <c r="AL6" s="53">
        <v>0</v>
      </c>
      <c r="AM6" s="53">
        <v>0</v>
      </c>
      <c r="AN6" s="53">
        <v>0</v>
      </c>
      <c r="AO6" s="53">
        <v>0</v>
      </c>
      <c r="AP6" s="53">
        <v>0</v>
      </c>
      <c r="AQ6" s="53">
        <v>0</v>
      </c>
      <c r="AR6" s="53">
        <v>0</v>
      </c>
      <c r="AS6" s="53">
        <v>0</v>
      </c>
      <c r="AT6" s="53">
        <v>0</v>
      </c>
      <c r="AU6" s="53">
        <v>0</v>
      </c>
      <c r="AV6" s="53">
        <v>0</v>
      </c>
      <c r="AW6" s="53">
        <v>0</v>
      </c>
      <c r="AX6" s="53">
        <v>0</v>
      </c>
      <c r="AY6" s="53">
        <v>0</v>
      </c>
      <c r="AZ6" s="53">
        <v>0</v>
      </c>
      <c r="BA6" s="53">
        <v>0</v>
      </c>
      <c r="BB6" s="53">
        <v>0</v>
      </c>
      <c r="BC6" s="53">
        <v>0</v>
      </c>
      <c r="BD6" s="53">
        <v>0</v>
      </c>
      <c r="BE6" s="53">
        <v>0</v>
      </c>
      <c r="BF6" s="53">
        <v>0</v>
      </c>
      <c r="BG6" s="53">
        <v>0</v>
      </c>
      <c r="BH6" s="53">
        <v>0</v>
      </c>
      <c r="BI6" s="53">
        <v>0</v>
      </c>
      <c r="BJ6" s="53">
        <v>0</v>
      </c>
    </row>
    <row r="7" spans="1:62">
      <c r="A7" s="139" t="s">
        <v>71</v>
      </c>
      <c r="B7" s="140">
        <f>C7</f>
        <v>0</v>
      </c>
      <c r="C7" s="53">
        <f>B6</f>
        <v>0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</row>
    <row r="8" spans="1:62">
      <c r="A8" s="139" t="s">
        <v>81</v>
      </c>
      <c r="B8" s="140"/>
      <c r="C8" s="53" t="e">
        <f>C7-C10</f>
        <v>#DIV/0!</v>
      </c>
      <c r="D8" s="53" t="e">
        <f>C8-D10</f>
        <v>#DIV/0!</v>
      </c>
      <c r="E8" s="53" t="e">
        <f t="shared" ref="E8:BJ8" si="0">D8-E10</f>
        <v>#DIV/0!</v>
      </c>
      <c r="F8" s="53" t="e">
        <f t="shared" si="0"/>
        <v>#DIV/0!</v>
      </c>
      <c r="G8" s="53" t="e">
        <f t="shared" si="0"/>
        <v>#DIV/0!</v>
      </c>
      <c r="H8" s="53" t="e">
        <f t="shared" si="0"/>
        <v>#DIV/0!</v>
      </c>
      <c r="I8" s="53" t="e">
        <f t="shared" si="0"/>
        <v>#DIV/0!</v>
      </c>
      <c r="J8" s="53" t="e">
        <f t="shared" si="0"/>
        <v>#DIV/0!</v>
      </c>
      <c r="K8" s="53" t="e">
        <f t="shared" si="0"/>
        <v>#DIV/0!</v>
      </c>
      <c r="L8" s="53" t="e">
        <f t="shared" si="0"/>
        <v>#DIV/0!</v>
      </c>
      <c r="M8" s="53" t="e">
        <f t="shared" si="0"/>
        <v>#DIV/0!</v>
      </c>
      <c r="N8" s="53" t="e">
        <f t="shared" si="0"/>
        <v>#DIV/0!</v>
      </c>
      <c r="O8" s="53" t="e">
        <f t="shared" si="0"/>
        <v>#DIV/0!</v>
      </c>
      <c r="P8" s="53" t="e">
        <f t="shared" si="0"/>
        <v>#DIV/0!</v>
      </c>
      <c r="Q8" s="53" t="e">
        <f t="shared" si="0"/>
        <v>#DIV/0!</v>
      </c>
      <c r="R8" s="53" t="e">
        <f t="shared" si="0"/>
        <v>#DIV/0!</v>
      </c>
      <c r="S8" s="53" t="e">
        <f t="shared" si="0"/>
        <v>#DIV/0!</v>
      </c>
      <c r="T8" s="53" t="e">
        <f t="shared" si="0"/>
        <v>#DIV/0!</v>
      </c>
      <c r="U8" s="53" t="e">
        <f t="shared" si="0"/>
        <v>#DIV/0!</v>
      </c>
      <c r="V8" s="53" t="e">
        <f t="shared" si="0"/>
        <v>#DIV/0!</v>
      </c>
      <c r="W8" s="53" t="e">
        <f t="shared" si="0"/>
        <v>#DIV/0!</v>
      </c>
      <c r="X8" s="53" t="e">
        <f t="shared" si="0"/>
        <v>#DIV/0!</v>
      </c>
      <c r="Y8" s="53" t="e">
        <f t="shared" si="0"/>
        <v>#DIV/0!</v>
      </c>
      <c r="Z8" s="53" t="e">
        <f t="shared" si="0"/>
        <v>#DIV/0!</v>
      </c>
      <c r="AA8" s="53" t="e">
        <f t="shared" si="0"/>
        <v>#DIV/0!</v>
      </c>
      <c r="AB8" s="53" t="e">
        <f t="shared" si="0"/>
        <v>#DIV/0!</v>
      </c>
      <c r="AC8" s="53" t="e">
        <f t="shared" si="0"/>
        <v>#DIV/0!</v>
      </c>
      <c r="AD8" s="53" t="e">
        <f t="shared" si="0"/>
        <v>#DIV/0!</v>
      </c>
      <c r="AE8" s="53" t="e">
        <f t="shared" si="0"/>
        <v>#DIV/0!</v>
      </c>
      <c r="AF8" s="53" t="e">
        <f t="shared" si="0"/>
        <v>#DIV/0!</v>
      </c>
      <c r="AG8" s="53" t="e">
        <f t="shared" si="0"/>
        <v>#DIV/0!</v>
      </c>
      <c r="AH8" s="53" t="e">
        <f t="shared" si="0"/>
        <v>#DIV/0!</v>
      </c>
      <c r="AI8" s="53" t="e">
        <f t="shared" si="0"/>
        <v>#DIV/0!</v>
      </c>
      <c r="AJ8" s="53" t="e">
        <f t="shared" si="0"/>
        <v>#DIV/0!</v>
      </c>
      <c r="AK8" s="53" t="e">
        <f t="shared" si="0"/>
        <v>#DIV/0!</v>
      </c>
      <c r="AL8" s="53" t="e">
        <f t="shared" si="0"/>
        <v>#DIV/0!</v>
      </c>
      <c r="AM8" s="53" t="e">
        <f t="shared" si="0"/>
        <v>#DIV/0!</v>
      </c>
      <c r="AN8" s="53" t="e">
        <f t="shared" si="0"/>
        <v>#DIV/0!</v>
      </c>
      <c r="AO8" s="53" t="e">
        <f t="shared" si="0"/>
        <v>#DIV/0!</v>
      </c>
      <c r="AP8" s="53" t="e">
        <f t="shared" si="0"/>
        <v>#DIV/0!</v>
      </c>
      <c r="AQ8" s="53" t="e">
        <f t="shared" si="0"/>
        <v>#DIV/0!</v>
      </c>
      <c r="AR8" s="53" t="e">
        <f t="shared" si="0"/>
        <v>#DIV/0!</v>
      </c>
      <c r="AS8" s="53" t="e">
        <f t="shared" si="0"/>
        <v>#DIV/0!</v>
      </c>
      <c r="AT8" s="53" t="e">
        <f t="shared" si="0"/>
        <v>#DIV/0!</v>
      </c>
      <c r="AU8" s="53" t="e">
        <f t="shared" si="0"/>
        <v>#DIV/0!</v>
      </c>
      <c r="AV8" s="53" t="e">
        <f t="shared" si="0"/>
        <v>#DIV/0!</v>
      </c>
      <c r="AW8" s="53" t="e">
        <f t="shared" si="0"/>
        <v>#DIV/0!</v>
      </c>
      <c r="AX8" s="53" t="e">
        <f t="shared" si="0"/>
        <v>#DIV/0!</v>
      </c>
      <c r="AY8" s="53" t="e">
        <f t="shared" si="0"/>
        <v>#DIV/0!</v>
      </c>
      <c r="AZ8" s="53" t="e">
        <f t="shared" si="0"/>
        <v>#DIV/0!</v>
      </c>
      <c r="BA8" s="53" t="e">
        <f t="shared" si="0"/>
        <v>#DIV/0!</v>
      </c>
      <c r="BB8" s="53" t="e">
        <f t="shared" si="0"/>
        <v>#DIV/0!</v>
      </c>
      <c r="BC8" s="53" t="e">
        <f t="shared" si="0"/>
        <v>#DIV/0!</v>
      </c>
      <c r="BD8" s="53" t="e">
        <f t="shared" si="0"/>
        <v>#DIV/0!</v>
      </c>
      <c r="BE8" s="53" t="e">
        <f t="shared" si="0"/>
        <v>#DIV/0!</v>
      </c>
      <c r="BF8" s="53" t="e">
        <f t="shared" si="0"/>
        <v>#DIV/0!</v>
      </c>
      <c r="BG8" s="53" t="e">
        <f t="shared" si="0"/>
        <v>#DIV/0!</v>
      </c>
      <c r="BH8" s="53" t="e">
        <f t="shared" si="0"/>
        <v>#DIV/0!</v>
      </c>
      <c r="BI8" s="53" t="e">
        <f t="shared" si="0"/>
        <v>#DIV/0!</v>
      </c>
      <c r="BJ8" s="53" t="e">
        <f t="shared" si="0"/>
        <v>#DIV/0!</v>
      </c>
    </row>
    <row r="9" spans="1:62">
      <c r="A9" s="139" t="s">
        <v>72</v>
      </c>
      <c r="B9" s="140" t="e">
        <f>SUM(C9:BJ9)</f>
        <v>#DIV/0!</v>
      </c>
      <c r="C9" s="53">
        <f>C7*$B$20/12</f>
        <v>0</v>
      </c>
      <c r="D9" s="53" t="e">
        <f>C8*$B$20/12</f>
        <v>#DIV/0!</v>
      </c>
      <c r="E9" s="53" t="e">
        <f>D8*$B$20/12</f>
        <v>#DIV/0!</v>
      </c>
      <c r="F9" s="53" t="e">
        <f t="shared" ref="F9:BJ9" si="1">E8*$B$20/12</f>
        <v>#DIV/0!</v>
      </c>
      <c r="G9" s="53" t="e">
        <f t="shared" si="1"/>
        <v>#DIV/0!</v>
      </c>
      <c r="H9" s="53" t="e">
        <f t="shared" si="1"/>
        <v>#DIV/0!</v>
      </c>
      <c r="I9" s="53" t="e">
        <f t="shared" si="1"/>
        <v>#DIV/0!</v>
      </c>
      <c r="J9" s="53" t="e">
        <f t="shared" si="1"/>
        <v>#DIV/0!</v>
      </c>
      <c r="K9" s="53" t="e">
        <f t="shared" si="1"/>
        <v>#DIV/0!</v>
      </c>
      <c r="L9" s="53" t="e">
        <f t="shared" si="1"/>
        <v>#DIV/0!</v>
      </c>
      <c r="M9" s="53" t="e">
        <f t="shared" si="1"/>
        <v>#DIV/0!</v>
      </c>
      <c r="N9" s="53" t="e">
        <f t="shared" si="1"/>
        <v>#DIV/0!</v>
      </c>
      <c r="O9" s="53" t="e">
        <f t="shared" si="1"/>
        <v>#DIV/0!</v>
      </c>
      <c r="P9" s="53" t="e">
        <f t="shared" si="1"/>
        <v>#DIV/0!</v>
      </c>
      <c r="Q9" s="53" t="e">
        <f t="shared" si="1"/>
        <v>#DIV/0!</v>
      </c>
      <c r="R9" s="53" t="e">
        <f t="shared" si="1"/>
        <v>#DIV/0!</v>
      </c>
      <c r="S9" s="53" t="e">
        <f t="shared" si="1"/>
        <v>#DIV/0!</v>
      </c>
      <c r="T9" s="53" t="e">
        <f t="shared" si="1"/>
        <v>#DIV/0!</v>
      </c>
      <c r="U9" s="53" t="e">
        <f t="shared" si="1"/>
        <v>#DIV/0!</v>
      </c>
      <c r="V9" s="53" t="e">
        <f t="shared" si="1"/>
        <v>#DIV/0!</v>
      </c>
      <c r="W9" s="53" t="e">
        <f t="shared" si="1"/>
        <v>#DIV/0!</v>
      </c>
      <c r="X9" s="53" t="e">
        <f t="shared" si="1"/>
        <v>#DIV/0!</v>
      </c>
      <c r="Y9" s="53" t="e">
        <f t="shared" si="1"/>
        <v>#DIV/0!</v>
      </c>
      <c r="Z9" s="53" t="e">
        <f t="shared" si="1"/>
        <v>#DIV/0!</v>
      </c>
      <c r="AA9" s="53" t="e">
        <f t="shared" si="1"/>
        <v>#DIV/0!</v>
      </c>
      <c r="AB9" s="53" t="e">
        <f t="shared" si="1"/>
        <v>#DIV/0!</v>
      </c>
      <c r="AC9" s="53" t="e">
        <f t="shared" si="1"/>
        <v>#DIV/0!</v>
      </c>
      <c r="AD9" s="53" t="e">
        <f t="shared" si="1"/>
        <v>#DIV/0!</v>
      </c>
      <c r="AE9" s="53" t="e">
        <f t="shared" si="1"/>
        <v>#DIV/0!</v>
      </c>
      <c r="AF9" s="53" t="e">
        <f t="shared" si="1"/>
        <v>#DIV/0!</v>
      </c>
      <c r="AG9" s="53" t="e">
        <f t="shared" si="1"/>
        <v>#DIV/0!</v>
      </c>
      <c r="AH9" s="53" t="e">
        <f t="shared" si="1"/>
        <v>#DIV/0!</v>
      </c>
      <c r="AI9" s="53" t="e">
        <f t="shared" si="1"/>
        <v>#DIV/0!</v>
      </c>
      <c r="AJ9" s="53" t="e">
        <f t="shared" si="1"/>
        <v>#DIV/0!</v>
      </c>
      <c r="AK9" s="53" t="e">
        <f t="shared" si="1"/>
        <v>#DIV/0!</v>
      </c>
      <c r="AL9" s="53" t="e">
        <f t="shared" si="1"/>
        <v>#DIV/0!</v>
      </c>
      <c r="AM9" s="53" t="e">
        <f t="shared" si="1"/>
        <v>#DIV/0!</v>
      </c>
      <c r="AN9" s="53" t="e">
        <f t="shared" si="1"/>
        <v>#DIV/0!</v>
      </c>
      <c r="AO9" s="53" t="e">
        <f t="shared" si="1"/>
        <v>#DIV/0!</v>
      </c>
      <c r="AP9" s="53" t="e">
        <f t="shared" si="1"/>
        <v>#DIV/0!</v>
      </c>
      <c r="AQ9" s="53" t="e">
        <f t="shared" si="1"/>
        <v>#DIV/0!</v>
      </c>
      <c r="AR9" s="53" t="e">
        <f t="shared" si="1"/>
        <v>#DIV/0!</v>
      </c>
      <c r="AS9" s="53" t="e">
        <f t="shared" si="1"/>
        <v>#DIV/0!</v>
      </c>
      <c r="AT9" s="53" t="e">
        <f t="shared" si="1"/>
        <v>#DIV/0!</v>
      </c>
      <c r="AU9" s="53" t="e">
        <f t="shared" si="1"/>
        <v>#DIV/0!</v>
      </c>
      <c r="AV9" s="53" t="e">
        <f t="shared" si="1"/>
        <v>#DIV/0!</v>
      </c>
      <c r="AW9" s="53" t="e">
        <f t="shared" si="1"/>
        <v>#DIV/0!</v>
      </c>
      <c r="AX9" s="53" t="e">
        <f t="shared" si="1"/>
        <v>#DIV/0!</v>
      </c>
      <c r="AY9" s="53" t="e">
        <f t="shared" si="1"/>
        <v>#DIV/0!</v>
      </c>
      <c r="AZ9" s="53" t="e">
        <f t="shared" si="1"/>
        <v>#DIV/0!</v>
      </c>
      <c r="BA9" s="53" t="e">
        <f t="shared" si="1"/>
        <v>#DIV/0!</v>
      </c>
      <c r="BB9" s="53" t="e">
        <f t="shared" si="1"/>
        <v>#DIV/0!</v>
      </c>
      <c r="BC9" s="53" t="e">
        <f t="shared" si="1"/>
        <v>#DIV/0!</v>
      </c>
      <c r="BD9" s="53" t="e">
        <f t="shared" si="1"/>
        <v>#DIV/0!</v>
      </c>
      <c r="BE9" s="53" t="e">
        <f t="shared" si="1"/>
        <v>#DIV/0!</v>
      </c>
      <c r="BF9" s="53" t="e">
        <f t="shared" si="1"/>
        <v>#DIV/0!</v>
      </c>
      <c r="BG9" s="53" t="e">
        <f t="shared" si="1"/>
        <v>#DIV/0!</v>
      </c>
      <c r="BH9" s="53" t="e">
        <f t="shared" si="1"/>
        <v>#DIV/0!</v>
      </c>
      <c r="BI9" s="53" t="e">
        <f t="shared" si="1"/>
        <v>#DIV/0!</v>
      </c>
      <c r="BJ9" s="53" t="e">
        <f t="shared" si="1"/>
        <v>#DIV/0!</v>
      </c>
    </row>
    <row r="10" spans="1:62">
      <c r="A10" s="139" t="s">
        <v>73</v>
      </c>
      <c r="B10" s="140" t="e">
        <f>SUM(C10:BJ10)</f>
        <v>#DIV/0!</v>
      </c>
      <c r="C10" s="53" t="e">
        <f>$C$7/$B$23</f>
        <v>#DIV/0!</v>
      </c>
      <c r="D10" s="53" t="e">
        <f t="shared" ref="D10:BJ10" si="2">$B$7/$B$23</f>
        <v>#DIV/0!</v>
      </c>
      <c r="E10" s="53" t="e">
        <f t="shared" si="2"/>
        <v>#DIV/0!</v>
      </c>
      <c r="F10" s="53" t="e">
        <f t="shared" si="2"/>
        <v>#DIV/0!</v>
      </c>
      <c r="G10" s="53" t="e">
        <f t="shared" si="2"/>
        <v>#DIV/0!</v>
      </c>
      <c r="H10" s="53" t="e">
        <f t="shared" si="2"/>
        <v>#DIV/0!</v>
      </c>
      <c r="I10" s="53" t="e">
        <f t="shared" si="2"/>
        <v>#DIV/0!</v>
      </c>
      <c r="J10" s="53" t="e">
        <f t="shared" si="2"/>
        <v>#DIV/0!</v>
      </c>
      <c r="K10" s="53" t="e">
        <f t="shared" si="2"/>
        <v>#DIV/0!</v>
      </c>
      <c r="L10" s="53" t="e">
        <f t="shared" si="2"/>
        <v>#DIV/0!</v>
      </c>
      <c r="M10" s="53" t="e">
        <f t="shared" si="2"/>
        <v>#DIV/0!</v>
      </c>
      <c r="N10" s="53" t="e">
        <f t="shared" si="2"/>
        <v>#DIV/0!</v>
      </c>
      <c r="O10" s="53" t="e">
        <f t="shared" si="2"/>
        <v>#DIV/0!</v>
      </c>
      <c r="P10" s="53" t="e">
        <f t="shared" si="2"/>
        <v>#DIV/0!</v>
      </c>
      <c r="Q10" s="53" t="e">
        <f t="shared" si="2"/>
        <v>#DIV/0!</v>
      </c>
      <c r="R10" s="53" t="e">
        <f t="shared" si="2"/>
        <v>#DIV/0!</v>
      </c>
      <c r="S10" s="53" t="e">
        <f t="shared" si="2"/>
        <v>#DIV/0!</v>
      </c>
      <c r="T10" s="53" t="e">
        <f t="shared" si="2"/>
        <v>#DIV/0!</v>
      </c>
      <c r="U10" s="53" t="e">
        <f t="shared" si="2"/>
        <v>#DIV/0!</v>
      </c>
      <c r="V10" s="53" t="e">
        <f t="shared" si="2"/>
        <v>#DIV/0!</v>
      </c>
      <c r="W10" s="53" t="e">
        <f t="shared" si="2"/>
        <v>#DIV/0!</v>
      </c>
      <c r="X10" s="53" t="e">
        <f t="shared" si="2"/>
        <v>#DIV/0!</v>
      </c>
      <c r="Y10" s="53" t="e">
        <f t="shared" si="2"/>
        <v>#DIV/0!</v>
      </c>
      <c r="Z10" s="53" t="e">
        <f t="shared" si="2"/>
        <v>#DIV/0!</v>
      </c>
      <c r="AA10" s="53" t="e">
        <f t="shared" si="2"/>
        <v>#DIV/0!</v>
      </c>
      <c r="AB10" s="53" t="e">
        <f t="shared" si="2"/>
        <v>#DIV/0!</v>
      </c>
      <c r="AC10" s="53" t="e">
        <f t="shared" si="2"/>
        <v>#DIV/0!</v>
      </c>
      <c r="AD10" s="53" t="e">
        <f t="shared" si="2"/>
        <v>#DIV/0!</v>
      </c>
      <c r="AE10" s="53" t="e">
        <f t="shared" si="2"/>
        <v>#DIV/0!</v>
      </c>
      <c r="AF10" s="53" t="e">
        <f t="shared" si="2"/>
        <v>#DIV/0!</v>
      </c>
      <c r="AG10" s="53" t="e">
        <f t="shared" si="2"/>
        <v>#DIV/0!</v>
      </c>
      <c r="AH10" s="53" t="e">
        <f t="shared" si="2"/>
        <v>#DIV/0!</v>
      </c>
      <c r="AI10" s="53" t="e">
        <f t="shared" si="2"/>
        <v>#DIV/0!</v>
      </c>
      <c r="AJ10" s="53" t="e">
        <f t="shared" si="2"/>
        <v>#DIV/0!</v>
      </c>
      <c r="AK10" s="53" t="e">
        <f t="shared" si="2"/>
        <v>#DIV/0!</v>
      </c>
      <c r="AL10" s="53" t="e">
        <f t="shared" si="2"/>
        <v>#DIV/0!</v>
      </c>
      <c r="AM10" s="53" t="e">
        <f t="shared" si="2"/>
        <v>#DIV/0!</v>
      </c>
      <c r="AN10" s="53" t="e">
        <f t="shared" si="2"/>
        <v>#DIV/0!</v>
      </c>
      <c r="AO10" s="53" t="e">
        <f t="shared" si="2"/>
        <v>#DIV/0!</v>
      </c>
      <c r="AP10" s="53" t="e">
        <f t="shared" si="2"/>
        <v>#DIV/0!</v>
      </c>
      <c r="AQ10" s="53" t="e">
        <f t="shared" si="2"/>
        <v>#DIV/0!</v>
      </c>
      <c r="AR10" s="53" t="e">
        <f t="shared" si="2"/>
        <v>#DIV/0!</v>
      </c>
      <c r="AS10" s="53" t="e">
        <f t="shared" si="2"/>
        <v>#DIV/0!</v>
      </c>
      <c r="AT10" s="53" t="e">
        <f t="shared" si="2"/>
        <v>#DIV/0!</v>
      </c>
      <c r="AU10" s="53" t="e">
        <f t="shared" si="2"/>
        <v>#DIV/0!</v>
      </c>
      <c r="AV10" s="53" t="e">
        <f t="shared" si="2"/>
        <v>#DIV/0!</v>
      </c>
      <c r="AW10" s="53" t="e">
        <f t="shared" si="2"/>
        <v>#DIV/0!</v>
      </c>
      <c r="AX10" s="53" t="e">
        <f t="shared" si="2"/>
        <v>#DIV/0!</v>
      </c>
      <c r="AY10" s="53" t="e">
        <f t="shared" si="2"/>
        <v>#DIV/0!</v>
      </c>
      <c r="AZ10" s="53" t="e">
        <f t="shared" si="2"/>
        <v>#DIV/0!</v>
      </c>
      <c r="BA10" s="53" t="e">
        <f t="shared" si="2"/>
        <v>#DIV/0!</v>
      </c>
      <c r="BB10" s="53" t="e">
        <f t="shared" si="2"/>
        <v>#DIV/0!</v>
      </c>
      <c r="BC10" s="53" t="e">
        <f t="shared" si="2"/>
        <v>#DIV/0!</v>
      </c>
      <c r="BD10" s="53" t="e">
        <f t="shared" si="2"/>
        <v>#DIV/0!</v>
      </c>
      <c r="BE10" s="53" t="e">
        <f t="shared" si="2"/>
        <v>#DIV/0!</v>
      </c>
      <c r="BF10" s="53" t="e">
        <f t="shared" si="2"/>
        <v>#DIV/0!</v>
      </c>
      <c r="BG10" s="53" t="e">
        <f t="shared" si="2"/>
        <v>#DIV/0!</v>
      </c>
      <c r="BH10" s="53" t="e">
        <f t="shared" si="2"/>
        <v>#DIV/0!</v>
      </c>
      <c r="BI10" s="53" t="e">
        <f t="shared" si="2"/>
        <v>#DIV/0!</v>
      </c>
      <c r="BJ10" s="53" t="e">
        <f t="shared" si="2"/>
        <v>#DIV/0!</v>
      </c>
    </row>
    <row r="11" spans="1:62">
      <c r="A11" s="137" t="s">
        <v>62</v>
      </c>
      <c r="B11" s="57" t="e">
        <f>SUM(C11:BJ11)</f>
        <v>#DIV/0!</v>
      </c>
      <c r="C11" s="57" t="e">
        <f>C9+C10</f>
        <v>#DIV/0!</v>
      </c>
      <c r="D11" s="57" t="e">
        <f t="shared" ref="D11:BJ11" si="3">D9+D10</f>
        <v>#DIV/0!</v>
      </c>
      <c r="E11" s="57" t="e">
        <f t="shared" si="3"/>
        <v>#DIV/0!</v>
      </c>
      <c r="F11" s="57" t="e">
        <f t="shared" si="3"/>
        <v>#DIV/0!</v>
      </c>
      <c r="G11" s="57" t="e">
        <f t="shared" si="3"/>
        <v>#DIV/0!</v>
      </c>
      <c r="H11" s="57" t="e">
        <f t="shared" si="3"/>
        <v>#DIV/0!</v>
      </c>
      <c r="I11" s="57" t="e">
        <f t="shared" si="3"/>
        <v>#DIV/0!</v>
      </c>
      <c r="J11" s="57" t="e">
        <f t="shared" si="3"/>
        <v>#DIV/0!</v>
      </c>
      <c r="K11" s="57" t="e">
        <f t="shared" si="3"/>
        <v>#DIV/0!</v>
      </c>
      <c r="L11" s="57" t="e">
        <f t="shared" si="3"/>
        <v>#DIV/0!</v>
      </c>
      <c r="M11" s="57" t="e">
        <f t="shared" si="3"/>
        <v>#DIV/0!</v>
      </c>
      <c r="N11" s="57" t="e">
        <f t="shared" si="3"/>
        <v>#DIV/0!</v>
      </c>
      <c r="O11" s="57" t="e">
        <f t="shared" si="3"/>
        <v>#DIV/0!</v>
      </c>
      <c r="P11" s="57" t="e">
        <f t="shared" si="3"/>
        <v>#DIV/0!</v>
      </c>
      <c r="Q11" s="57" t="e">
        <f t="shared" si="3"/>
        <v>#DIV/0!</v>
      </c>
      <c r="R11" s="57" t="e">
        <f t="shared" si="3"/>
        <v>#DIV/0!</v>
      </c>
      <c r="S11" s="57" t="e">
        <f t="shared" si="3"/>
        <v>#DIV/0!</v>
      </c>
      <c r="T11" s="57" t="e">
        <f t="shared" si="3"/>
        <v>#DIV/0!</v>
      </c>
      <c r="U11" s="57" t="e">
        <f t="shared" si="3"/>
        <v>#DIV/0!</v>
      </c>
      <c r="V11" s="57" t="e">
        <f t="shared" si="3"/>
        <v>#DIV/0!</v>
      </c>
      <c r="W11" s="57" t="e">
        <f t="shared" si="3"/>
        <v>#DIV/0!</v>
      </c>
      <c r="X11" s="57" t="e">
        <f t="shared" si="3"/>
        <v>#DIV/0!</v>
      </c>
      <c r="Y11" s="57" t="e">
        <f t="shared" si="3"/>
        <v>#DIV/0!</v>
      </c>
      <c r="Z11" s="57" t="e">
        <f t="shared" si="3"/>
        <v>#DIV/0!</v>
      </c>
      <c r="AA11" s="57" t="e">
        <f t="shared" si="3"/>
        <v>#DIV/0!</v>
      </c>
      <c r="AB11" s="57" t="e">
        <f t="shared" si="3"/>
        <v>#DIV/0!</v>
      </c>
      <c r="AC11" s="57" t="e">
        <f t="shared" si="3"/>
        <v>#DIV/0!</v>
      </c>
      <c r="AD11" s="57" t="e">
        <f t="shared" si="3"/>
        <v>#DIV/0!</v>
      </c>
      <c r="AE11" s="57" t="e">
        <f t="shared" si="3"/>
        <v>#DIV/0!</v>
      </c>
      <c r="AF11" s="57" t="e">
        <f t="shared" si="3"/>
        <v>#DIV/0!</v>
      </c>
      <c r="AG11" s="57" t="e">
        <f t="shared" si="3"/>
        <v>#DIV/0!</v>
      </c>
      <c r="AH11" s="57" t="e">
        <f t="shared" si="3"/>
        <v>#DIV/0!</v>
      </c>
      <c r="AI11" s="57" t="e">
        <f t="shared" si="3"/>
        <v>#DIV/0!</v>
      </c>
      <c r="AJ11" s="57" t="e">
        <f t="shared" si="3"/>
        <v>#DIV/0!</v>
      </c>
      <c r="AK11" s="57" t="e">
        <f t="shared" si="3"/>
        <v>#DIV/0!</v>
      </c>
      <c r="AL11" s="57" t="e">
        <f t="shared" si="3"/>
        <v>#DIV/0!</v>
      </c>
      <c r="AM11" s="57" t="e">
        <f t="shared" si="3"/>
        <v>#DIV/0!</v>
      </c>
      <c r="AN11" s="57" t="e">
        <f t="shared" si="3"/>
        <v>#DIV/0!</v>
      </c>
      <c r="AO11" s="57" t="e">
        <f t="shared" si="3"/>
        <v>#DIV/0!</v>
      </c>
      <c r="AP11" s="57" t="e">
        <f t="shared" si="3"/>
        <v>#DIV/0!</v>
      </c>
      <c r="AQ11" s="57" t="e">
        <f t="shared" si="3"/>
        <v>#DIV/0!</v>
      </c>
      <c r="AR11" s="57" t="e">
        <f t="shared" si="3"/>
        <v>#DIV/0!</v>
      </c>
      <c r="AS11" s="57" t="e">
        <f t="shared" si="3"/>
        <v>#DIV/0!</v>
      </c>
      <c r="AT11" s="57" t="e">
        <f t="shared" si="3"/>
        <v>#DIV/0!</v>
      </c>
      <c r="AU11" s="57" t="e">
        <f t="shared" si="3"/>
        <v>#DIV/0!</v>
      </c>
      <c r="AV11" s="57" t="e">
        <f t="shared" si="3"/>
        <v>#DIV/0!</v>
      </c>
      <c r="AW11" s="57" t="e">
        <f t="shared" si="3"/>
        <v>#DIV/0!</v>
      </c>
      <c r="AX11" s="57" t="e">
        <f t="shared" si="3"/>
        <v>#DIV/0!</v>
      </c>
      <c r="AY11" s="57" t="e">
        <f t="shared" si="3"/>
        <v>#DIV/0!</v>
      </c>
      <c r="AZ11" s="57" t="e">
        <f t="shared" si="3"/>
        <v>#DIV/0!</v>
      </c>
      <c r="BA11" s="57" t="e">
        <f t="shared" si="3"/>
        <v>#DIV/0!</v>
      </c>
      <c r="BB11" s="57" t="e">
        <f t="shared" si="3"/>
        <v>#DIV/0!</v>
      </c>
      <c r="BC11" s="57" t="e">
        <f t="shared" si="3"/>
        <v>#DIV/0!</v>
      </c>
      <c r="BD11" s="57" t="e">
        <f t="shared" si="3"/>
        <v>#DIV/0!</v>
      </c>
      <c r="BE11" s="57" t="e">
        <f t="shared" si="3"/>
        <v>#DIV/0!</v>
      </c>
      <c r="BF11" s="57" t="e">
        <f t="shared" si="3"/>
        <v>#DIV/0!</v>
      </c>
      <c r="BG11" s="57" t="e">
        <f t="shared" si="3"/>
        <v>#DIV/0!</v>
      </c>
      <c r="BH11" s="57" t="e">
        <f t="shared" si="3"/>
        <v>#DIV/0!</v>
      </c>
      <c r="BI11" s="57" t="e">
        <f t="shared" si="3"/>
        <v>#DIV/0!</v>
      </c>
      <c r="BJ11" s="57" t="e">
        <f t="shared" si="3"/>
        <v>#DIV/0!</v>
      </c>
    </row>
    <row r="12" spans="1:62">
      <c r="A12" s="141"/>
      <c r="B12" s="14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</row>
    <row r="13" spans="1:62">
      <c r="A13" s="142"/>
      <c r="B13" s="14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</row>
    <row r="14" spans="1:6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</row>
    <row r="15" spans="1:62">
      <c r="A15" s="15"/>
      <c r="B15" s="14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</row>
    <row r="16" spans="1:62">
      <c r="A16" s="146"/>
      <c r="B16" s="146"/>
      <c r="C16" s="146"/>
      <c r="D16" s="15"/>
      <c r="E16" s="14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</row>
    <row r="17" spans="1:62" ht="18">
      <c r="A17" s="28" t="s">
        <v>76</v>
      </c>
      <c r="B17" s="28"/>
      <c r="C17" s="14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</row>
    <row r="18" spans="1:62">
      <c r="A18" s="146"/>
      <c r="B18" s="146"/>
      <c r="C18" s="14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</row>
    <row r="19" spans="1:62">
      <c r="A19" s="147" t="s">
        <v>47</v>
      </c>
      <c r="B19" s="148"/>
      <c r="C19" s="14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1:62">
      <c r="A20" s="149" t="s">
        <v>60</v>
      </c>
      <c r="B20" s="218"/>
      <c r="C20" s="146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</row>
    <row r="21" spans="1:62">
      <c r="A21" s="149" t="s">
        <v>61</v>
      </c>
      <c r="B21" s="233"/>
      <c r="C21" s="14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62" ht="12" customHeight="1">
      <c r="A22" s="149" t="s">
        <v>64</v>
      </c>
      <c r="B22" s="218"/>
      <c r="C22" s="14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</row>
    <row r="23" spans="1:62">
      <c r="A23" s="149" t="s">
        <v>69</v>
      </c>
      <c r="B23" s="226"/>
      <c r="C23" s="146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</row>
    <row r="24" spans="1:62">
      <c r="A24" s="146"/>
      <c r="B24" s="146"/>
      <c r="C24" s="14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</row>
    <row r="25" spans="1:62">
      <c r="A25" s="146"/>
      <c r="B25" s="146"/>
      <c r="C25" s="14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6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</row>
    <row r="27" spans="1:6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spans="1:6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1:6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6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</row>
    <row r="31" spans="1:6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</row>
    <row r="32" spans="1:6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</row>
    <row r="33" spans="1:4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</row>
  </sheetData>
  <mergeCells count="5">
    <mergeCell ref="C4:N4"/>
    <mergeCell ref="O4:Z4"/>
    <mergeCell ref="AA4:AL4"/>
    <mergeCell ref="AM4:AX4"/>
    <mergeCell ref="AY4:B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Титул</vt:lpstr>
      <vt:lpstr>Резюме проекту</vt:lpstr>
      <vt:lpstr>Доходи</vt:lpstr>
      <vt:lpstr>Витрати</vt:lpstr>
      <vt:lpstr>Інвестиційний план</vt:lpstr>
      <vt:lpstr>Оборудование</vt:lpstr>
      <vt:lpstr>Амортизація</vt:lpstr>
      <vt:lpstr>Розрахунок податків</vt:lpstr>
      <vt:lpstr>Кредит</vt:lpstr>
      <vt:lpstr>ОФР</vt:lpstr>
      <vt:lpstr>ОДДС</vt:lpstr>
      <vt:lpstr>Розрахунок точки беззбитковості</vt:lpstr>
      <vt:lpstr>Финансовий аналіз</vt:lpstr>
      <vt:lpstr>Інвестиційний аналіз</vt:lpstr>
      <vt:lpstr>Анализ чувствительности ЧПД</vt:lpstr>
      <vt:lpstr>Dr</vt:lpstr>
      <vt:lpstr>Анализ чувствительности</vt:lpstr>
      <vt:lpstr>Доходи!OLE_LINK24</vt:lpstr>
      <vt:lpstr>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2011-01-18T18:29:12Z</dcterms:created>
  <dcterms:modified xsi:type="dcterms:W3CDTF">2021-10-31T15:19:10Z</dcterms:modified>
</cp:coreProperties>
</file>